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C:\Users\Jonatan Bispo\AppData\Local\Microsoft\Windows\INetCache\Content.Outlook\KUELSDB9\"/>
    </mc:Choice>
  </mc:AlternateContent>
  <xr:revisionPtr revIDLastSave="0" documentId="13_ncr:1_{07732318-3CA4-4F81-995B-ECFE74DC94FB}" xr6:coauthVersionLast="41" xr6:coauthVersionMax="41" xr10:uidLastSave="{00000000-0000-0000-0000-000000000000}"/>
  <bookViews>
    <workbookView xWindow="-120" yWindow="-120" windowWidth="20730" windowHeight="11310" firstSheet="2" activeTab="2" xr2:uid="{5ADAA884-EDFE-4C8C-B303-E67F5DA54277}"/>
  </bookViews>
  <sheets>
    <sheet name="Planilha1" sheetId="1" state="hidden" r:id="rId1"/>
    <sheet name="SIMULADOR" sheetId="2" state="hidden" r:id="rId2"/>
    <sheet name="Simulador de Benefício Fiscal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6" i="2" l="1"/>
  <c r="H56" i="2" l="1"/>
  <c r="E44" i="2" l="1"/>
  <c r="E28" i="2"/>
  <c r="E33" i="2" l="1"/>
  <c r="H33" i="2" s="1"/>
  <c r="F33" i="2" l="1"/>
  <c r="E35" i="2"/>
  <c r="H35" i="2" s="1"/>
  <c r="E36" i="2"/>
  <c r="G33" i="3"/>
  <c r="E42" i="2"/>
  <c r="E39" i="2"/>
  <c r="E30" i="2"/>
  <c r="E26" i="2"/>
  <c r="D30" i="1"/>
  <c r="G47" i="2" l="1"/>
  <c r="E47" i="2"/>
  <c r="E58" i="2" s="1"/>
  <c r="F47" i="2"/>
  <c r="H47" i="2" s="1"/>
  <c r="H52" i="2"/>
  <c r="F40" i="2"/>
  <c r="G40" i="2" s="1"/>
  <c r="D59" i="2"/>
  <c r="C56" i="2"/>
  <c r="I47" i="2"/>
  <c r="G21" i="3"/>
  <c r="F35" i="2"/>
  <c r="G29" i="3"/>
  <c r="H58" i="2" l="1"/>
  <c r="C58" i="2"/>
  <c r="E60" i="2"/>
  <c r="J33" i="3" s="1"/>
  <c r="F36" i="2"/>
  <c r="J22" i="2"/>
  <c r="J21" i="2"/>
  <c r="J20" i="2"/>
  <c r="J19" i="2"/>
  <c r="H22" i="2"/>
  <c r="H21" i="2"/>
  <c r="H20" i="2"/>
  <c r="H19" i="2"/>
  <c r="H18" i="2"/>
  <c r="G31" i="3" l="1"/>
  <c r="E56" i="2"/>
  <c r="E7" i="2"/>
  <c r="E9" i="2" s="1"/>
  <c r="F9" i="2" s="1"/>
  <c r="J29" i="3" l="1"/>
  <c r="C52" i="2"/>
  <c r="G25" i="3" l="1"/>
  <c r="E52" i="2"/>
  <c r="J31" i="3"/>
  <c r="J25" i="3"/>
  <c r="C18" i="1" l="1"/>
  <c r="D9" i="1"/>
  <c r="F28" i="2" l="1"/>
  <c r="C54" i="2" l="1"/>
  <c r="G54" i="2" s="1"/>
  <c r="C9" i="2"/>
  <c r="C13" i="2" s="1"/>
  <c r="G27" i="3" l="1"/>
  <c r="J27" i="3" s="1"/>
  <c r="E54" i="2"/>
  <c r="H50" i="2" s="1"/>
  <c r="E62" i="2" s="1"/>
  <c r="H54" i="2"/>
  <c r="H49" i="2"/>
  <c r="I49" i="2"/>
  <c r="C11" i="2"/>
  <c r="C14" i="2"/>
  <c r="C15" i="2" s="1"/>
  <c r="C17" i="2" s="1"/>
  <c r="C18" i="2" s="1"/>
  <c r="C20" i="2" s="1"/>
  <c r="H62" i="2" l="1"/>
  <c r="H64" i="2" s="1"/>
  <c r="E64" i="2"/>
  <c r="F64" i="2" s="1"/>
  <c r="C62" i="2"/>
  <c r="C64" i="2" s="1"/>
  <c r="J35" i="3"/>
  <c r="E35" i="1"/>
  <c r="C32" i="1"/>
  <c r="C36" i="1" s="1"/>
  <c r="D32" i="1"/>
  <c r="E8" i="1"/>
  <c r="H8" i="1" s="1"/>
  <c r="D7" i="1"/>
  <c r="E9" i="1" s="1"/>
  <c r="E18" i="1" s="1"/>
  <c r="C9" i="1"/>
  <c r="C14" i="1" s="1"/>
  <c r="E66" i="2" l="1"/>
  <c r="J39" i="3" s="1"/>
  <c r="J37" i="3"/>
  <c r="C66" i="2"/>
  <c r="G39" i="3" s="1"/>
  <c r="D62" i="2"/>
  <c r="G35" i="3"/>
  <c r="G37" i="3"/>
  <c r="C15" i="1"/>
  <c r="C12" i="1"/>
  <c r="C20" i="1"/>
  <c r="C21" i="1" s="1"/>
  <c r="C23" i="1" s="1"/>
  <c r="H22" i="1"/>
  <c r="C38" i="1"/>
  <c r="C40" i="1" s="1"/>
  <c r="C41" i="1" s="1"/>
  <c r="C4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Enecila</author>
  </authors>
  <commentList>
    <comment ref="C10" authorId="0" shapeId="0" xr:uid="{29A19590-FF13-4EED-A182-91ADC15CBC89}">
      <text>
        <r>
          <rPr>
            <b/>
            <sz val="9"/>
            <color indexed="81"/>
            <rFont val="Segoe UI"/>
            <family val="2"/>
          </rPr>
          <t>Enecila:</t>
        </r>
        <r>
          <rPr>
            <sz val="9"/>
            <color indexed="81"/>
            <rFont val="Segoe UI"/>
            <family val="2"/>
          </rPr>
          <t xml:space="preserve">
O sistema da receita considera até 8.500,00</t>
        </r>
      </text>
    </comment>
    <comment ref="C18" authorId="0" shapeId="0" xr:uid="{423672FD-BD87-4DB7-AD5B-000E9CC3BBF9}">
      <text>
        <r>
          <rPr>
            <b/>
            <sz val="9"/>
            <color indexed="81"/>
            <rFont val="Segoe UI"/>
            <family val="2"/>
          </rPr>
          <t>Enecila:</t>
        </r>
        <r>
          <rPr>
            <sz val="9"/>
            <color indexed="81"/>
            <rFont val="Segoe UI"/>
            <family val="2"/>
          </rPr>
          <t xml:space="preserve">
Dedução limitada a 20.500,00 (20,5%)</t>
        </r>
      </text>
    </comment>
    <comment ref="C33" authorId="0" shapeId="0" xr:uid="{802C7B2A-64E2-4621-9875-BFF30E6E8A9C}">
      <text>
        <r>
          <rPr>
            <b/>
            <sz val="9"/>
            <color indexed="81"/>
            <rFont val="Segoe UI"/>
            <family val="2"/>
          </rPr>
          <t>Enecila:</t>
        </r>
        <r>
          <rPr>
            <sz val="9"/>
            <color indexed="81"/>
            <rFont val="Segoe UI"/>
            <family val="2"/>
          </rPr>
          <t xml:space="preserve">
O sistema da receita não considera essa dedução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Enecila</author>
  </authors>
  <commentList>
    <comment ref="C10" authorId="0" shapeId="0" xr:uid="{F4E85A27-8148-43FF-85BC-DA03D448B64B}">
      <text>
        <r>
          <rPr>
            <b/>
            <sz val="9"/>
            <color indexed="81"/>
            <rFont val="Segoe UI"/>
            <family val="2"/>
          </rPr>
          <t>Enecila:</t>
        </r>
        <r>
          <rPr>
            <sz val="9"/>
            <color indexed="81"/>
            <rFont val="Segoe UI"/>
            <family val="2"/>
          </rPr>
          <t xml:space="preserve">
O sistema da receita considera até 8.500,00</t>
        </r>
      </text>
    </comment>
    <comment ref="C15" authorId="0" shapeId="0" xr:uid="{5681EDD6-F299-470C-942A-926839667EA6}">
      <text>
        <r>
          <rPr>
            <b/>
            <sz val="9"/>
            <color indexed="81"/>
            <rFont val="Segoe UI"/>
            <family val="2"/>
          </rPr>
          <t>Enecila:</t>
        </r>
        <r>
          <rPr>
            <sz val="9"/>
            <color indexed="81"/>
            <rFont val="Segoe UI"/>
            <family val="2"/>
          </rPr>
          <t xml:space="preserve">
Dedução limitada a 20.500,00 (20,5%)</t>
        </r>
      </text>
    </comment>
    <comment ref="B26" authorId="0" shapeId="0" xr:uid="{0C2281B9-8503-4B13-9208-27D4CBFF8BC6}">
      <text>
        <r>
          <rPr>
            <sz val="9"/>
            <color indexed="81"/>
            <rFont val="Segoe UI"/>
            <family val="2"/>
          </rPr>
          <t xml:space="preserve">Somatório de todas os rendimentos auferidos no ano calendário
</t>
        </r>
      </text>
    </comment>
  </commentList>
</comments>
</file>

<file path=xl/sharedStrings.xml><?xml version="1.0" encoding="utf-8"?>
<sst xmlns="http://schemas.openxmlformats.org/spreadsheetml/2006/main" count="120" uniqueCount="86">
  <si>
    <t>cont mensal</t>
  </si>
  <si>
    <t>anual</t>
  </si>
  <si>
    <t>patrocinador</t>
  </si>
  <si>
    <t>facultativas</t>
  </si>
  <si>
    <t>parcela a deduzir</t>
  </si>
  <si>
    <t>Cálculo do imposto</t>
  </si>
  <si>
    <t>Limite Reg. IRRF %</t>
  </si>
  <si>
    <t>Valor limite</t>
  </si>
  <si>
    <t>Rendimento deduzido 12%</t>
  </si>
  <si>
    <t>Limite Patrocinador 8,5%</t>
  </si>
  <si>
    <t>Base de cálculo do IRRF</t>
  </si>
  <si>
    <t>27,5%   -  parcela  10.432,32</t>
  </si>
  <si>
    <t>IRRF a pagar</t>
  </si>
  <si>
    <t>Rendimento bruto</t>
  </si>
  <si>
    <t>Contribuições esporádicas</t>
  </si>
  <si>
    <t>Participante Patrocinado</t>
  </si>
  <si>
    <t>Participante sem a contrapartida do Patrocinador</t>
  </si>
  <si>
    <t>esporádica</t>
  </si>
  <si>
    <t>total pago</t>
  </si>
  <si>
    <t>limite calculado no sistema da receita</t>
  </si>
  <si>
    <t>SIMULAÇÃO BENEFÍCIO FISCAL DO IRRF</t>
  </si>
  <si>
    <t>Total limite + cont. esporádicas</t>
  </si>
  <si>
    <t>Despesas médicas - anual:</t>
  </si>
  <si>
    <t>Limite de dedução (anual):</t>
  </si>
  <si>
    <t>Contribuições à previdência oficial (RPPS) - anual:</t>
  </si>
  <si>
    <t>Pensão alimentícia - anual:</t>
  </si>
  <si>
    <t>Total das contribuições facultativas à Funpresp, incluindo PAR - anual:</t>
  </si>
  <si>
    <t>Quantidade de dependentes</t>
  </si>
  <si>
    <t>Total das contribuições facultativas/esporádicas  à PrevNordeste - anual:</t>
  </si>
  <si>
    <t>Limite de dedução (anual):   0,00</t>
  </si>
  <si>
    <t>Contribuições RPPS</t>
  </si>
  <si>
    <t>Total das contribuições regulares do participante à PrevNordeste - anual:</t>
  </si>
  <si>
    <t>Total da contribuição Patrocinador - anual</t>
  </si>
  <si>
    <t>INFORMAÇÕES PARA SIMULAÇÃO - DADOS ANUAIS</t>
  </si>
  <si>
    <t>Rendimento anual tributável (12 salários)</t>
  </si>
  <si>
    <t>limite : 0,00</t>
  </si>
  <si>
    <t>RESULTADO DA SIMULAÇÃO</t>
  </si>
  <si>
    <t>Base de Cálculo do IR:</t>
  </si>
  <si>
    <t>Total de Deduções</t>
  </si>
  <si>
    <t>Contribuições Regulares realizadas:</t>
  </si>
  <si>
    <t>Contribuições Facultativas realizadas:</t>
  </si>
  <si>
    <t>Contribuições Facultativas sugeridas:</t>
  </si>
  <si>
    <t>Base de Cálculo do IR (líquida):</t>
  </si>
  <si>
    <t>Imposto Devido:</t>
  </si>
  <si>
    <t>(Declaração de IRPF Completa)</t>
  </si>
  <si>
    <t>Economia de Imposto decorrente das Contribuições Previdenciárias:</t>
  </si>
  <si>
    <t>Situação Atual</t>
  </si>
  <si>
    <t>Situação Sugerida</t>
  </si>
  <si>
    <t>Limite de dedução (anual): 7123,00</t>
  </si>
  <si>
    <t xml:space="preserve">Base de cálculo mensal em R$ </t>
  </si>
  <si>
    <t xml:space="preserve">Alíquota % </t>
  </si>
  <si>
    <t>dedução</t>
  </si>
  <si>
    <t>–</t>
  </si>
  <si>
    <t xml:space="preserve">Rendimento anual tributável: </t>
  </si>
  <si>
    <t>Quantidade de dependentes:</t>
  </si>
  <si>
    <t>Limite de dedução anual:</t>
  </si>
  <si>
    <t>Pensão alimentícia anual:</t>
  </si>
  <si>
    <t>Base de Calculo do IR:</t>
  </si>
  <si>
    <t>Situação atual:</t>
  </si>
  <si>
    <t>Situação sugerida:</t>
  </si>
  <si>
    <t>Total de Deduções:</t>
  </si>
  <si>
    <t>Despesas com ensino titular- anual:</t>
  </si>
  <si>
    <t>Despesa com ensino de dependentes 3561,50</t>
  </si>
  <si>
    <t>RESULTADOS DA SIMULAÇÃO</t>
  </si>
  <si>
    <t>Despesas médicas anuais:</t>
  </si>
  <si>
    <t>Despesa com ensino titular:</t>
  </si>
  <si>
    <t>Despesa com ensino dependente:</t>
  </si>
  <si>
    <t>Contribuições à Previdência oficial (RPPS/INSS) anual:</t>
  </si>
  <si>
    <t>Total das contribuições esporádicas  à PrevNordeste - anual:</t>
  </si>
  <si>
    <t>Contribuições esporádicas sugeridas:</t>
  </si>
  <si>
    <t>Contribuições Regulares realizadas à PrevNordeste:</t>
  </si>
  <si>
    <t>Imposto devido:</t>
  </si>
  <si>
    <t>Total da contribuição patrocinador - anual</t>
  </si>
  <si>
    <t>Contribuições esporádicas realizadas:</t>
  </si>
  <si>
    <t>DADOS ALIMENTADOS</t>
  </si>
  <si>
    <t>Limite instrução titular</t>
  </si>
  <si>
    <t>Limite instrução dependnete</t>
  </si>
  <si>
    <t>Patrocinado</t>
  </si>
  <si>
    <t>Facultativo</t>
  </si>
  <si>
    <t>+</t>
  </si>
  <si>
    <t>Facultaivo</t>
  </si>
  <si>
    <t>sugerida</t>
  </si>
  <si>
    <t>Limites</t>
  </si>
  <si>
    <t>Base cálculo</t>
  </si>
  <si>
    <t>base calculo sugerida</t>
  </si>
  <si>
    <r>
      <rPr>
        <b/>
        <sz val="26"/>
        <color theme="1"/>
        <rFont val="Calibri"/>
        <family val="2"/>
        <scheme val="minor"/>
      </rPr>
      <t xml:space="preserve">Quer contribuir?  </t>
    </r>
    <r>
      <rPr>
        <sz val="14"/>
        <color theme="1"/>
        <rFont val="Calibri"/>
        <family val="2"/>
        <scheme val="minor"/>
      </rPr>
      <t xml:space="preserve">                                                           </t>
    </r>
    <r>
      <rPr>
        <sz val="20"/>
        <color theme="1"/>
        <rFont val="Calibri"/>
        <family val="2"/>
        <scheme val="minor"/>
      </rPr>
      <t xml:space="preserve"> Para fazer o seu aporte e usufruir do Benefício Fiscal, siga as seguintes instruções:                                                                                                                        Depósito identificado no Banco do Brasil                                                   Código identificador: CPF do Participante Agência - 3832-6  Conta Corrente - 80.000-7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</si>
</sst>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.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1"/>
      <color theme="4" tint="-0.249977111117893"/>
      <name val="Calibri"/>
      <family val="2"/>
      <scheme val="minor"/>
    </font>
    <font>
      <b/>
      <sz val="12"/>
      <color rgb="FF4A5B6C"/>
      <name val="Calibri"/>
      <family val="2"/>
      <scheme val="minor"/>
    </font>
    <font>
      <sz val="12"/>
      <color rgb="FF4A5B6C"/>
      <name val="Calibri"/>
      <family val="2"/>
      <scheme val="minor"/>
    </font>
    <font>
      <sz val="10"/>
      <color rgb="FF4A5B6C"/>
      <name val="Calibri"/>
      <family val="2"/>
      <scheme val="minor"/>
    </font>
    <font>
      <b/>
      <sz val="11"/>
      <name val="Calibri"/>
      <family val="2"/>
      <scheme val="minor"/>
    </font>
    <font>
      <sz val="8"/>
      <color rgb="FF4A5B6C"/>
      <name val="Calibri"/>
      <family val="2"/>
      <scheme val="minor"/>
    </font>
    <font>
      <b/>
      <sz val="14"/>
      <color rgb="FF4A5B6C"/>
      <name val="Calibri"/>
      <family val="2"/>
      <scheme val="minor"/>
    </font>
    <font>
      <b/>
      <sz val="12"/>
      <color rgb="FFEA664F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000000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BD86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DAB2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C396"/>
        <bgColor indexed="64"/>
      </patternFill>
    </fill>
    <fill>
      <patternFill patternType="solid">
        <fgColor rgb="FFC8513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2">
    <xf numFmtId="0" fontId="0" fillId="0" borderId="0" xfId="0"/>
    <xf numFmtId="43" fontId="0" fillId="0" borderId="0" xfId="1" applyFont="1"/>
    <xf numFmtId="9" fontId="0" fillId="0" borderId="0" xfId="1" applyNumberFormat="1" applyFont="1"/>
    <xf numFmtId="43" fontId="0" fillId="0" borderId="0" xfId="0" applyNumberFormat="1"/>
    <xf numFmtId="10" fontId="0" fillId="0" borderId="0" xfId="0" applyNumberFormat="1"/>
    <xf numFmtId="165" fontId="0" fillId="0" borderId="0" xfId="0" applyNumberFormat="1"/>
    <xf numFmtId="0" fontId="3" fillId="0" borderId="0" xfId="0" applyFont="1"/>
    <xf numFmtId="43" fontId="3" fillId="0" borderId="0" xfId="0" applyNumberFormat="1" applyFont="1"/>
    <xf numFmtId="43" fontId="3" fillId="0" borderId="0" xfId="1" applyFont="1"/>
    <xf numFmtId="0" fontId="3" fillId="0" borderId="0" xfId="0" applyFont="1" applyAlignment="1">
      <alignment horizontal="center"/>
    </xf>
    <xf numFmtId="43" fontId="3" fillId="2" borderId="0" xfId="1" applyFont="1" applyFill="1"/>
    <xf numFmtId="43" fontId="3" fillId="2" borderId="0" xfId="0" applyNumberFormat="1" applyFont="1" applyFill="1"/>
    <xf numFmtId="0" fontId="3" fillId="2" borderId="0" xfId="0" applyFont="1" applyFill="1"/>
    <xf numFmtId="0" fontId="3" fillId="3" borderId="0" xfId="0" applyFont="1" applyFill="1"/>
    <xf numFmtId="43" fontId="3" fillId="3" borderId="0" xfId="0" applyNumberFormat="1" applyFont="1" applyFill="1"/>
    <xf numFmtId="43" fontId="3" fillId="3" borderId="0" xfId="1" applyFont="1" applyFill="1"/>
    <xf numFmtId="0" fontId="6" fillId="0" borderId="0" xfId="0" applyFont="1"/>
    <xf numFmtId="43" fontId="6" fillId="0" borderId="0" xfId="1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7" fillId="0" borderId="0" xfId="0" applyFont="1" applyAlignment="1"/>
    <xf numFmtId="43" fontId="2" fillId="0" borderId="0" xfId="1" applyFont="1"/>
    <xf numFmtId="0" fontId="11" fillId="0" borderId="0" xfId="0" applyFont="1" applyAlignment="1">
      <alignment vertical="top"/>
    </xf>
    <xf numFmtId="0" fontId="7" fillId="0" borderId="0" xfId="0" applyFont="1" applyAlignment="1">
      <alignment wrapText="1"/>
    </xf>
    <xf numFmtId="0" fontId="8" fillId="0" borderId="1" xfId="0" applyFont="1" applyBorder="1"/>
    <xf numFmtId="164" fontId="7" fillId="0" borderId="1" xfId="2" applyFont="1" applyBorder="1"/>
    <xf numFmtId="164" fontId="13" fillId="0" borderId="1" xfId="2" applyFont="1" applyBorder="1"/>
    <xf numFmtId="43" fontId="13" fillId="0" borderId="1" xfId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3" fontId="3" fillId="7" borderId="0" xfId="0" applyNumberFormat="1" applyFont="1" applyFill="1"/>
    <xf numFmtId="43" fontId="9" fillId="0" borderId="0" xfId="1" applyFont="1"/>
    <xf numFmtId="43" fontId="9" fillId="0" borderId="0" xfId="1" applyNumberFormat="1" applyFont="1"/>
    <xf numFmtId="0" fontId="0" fillId="0" borderId="0" xfId="0" applyFill="1"/>
    <xf numFmtId="43" fontId="3" fillId="0" borderId="0" xfId="0" applyNumberFormat="1" applyFont="1" applyFill="1"/>
    <xf numFmtId="0" fontId="3" fillId="0" borderId="0" xfId="0" applyFont="1" applyFill="1"/>
    <xf numFmtId="10" fontId="0" fillId="0" borderId="0" xfId="0" applyNumberFormat="1" applyFill="1"/>
    <xf numFmtId="43" fontId="0" fillId="0" borderId="0" xfId="1" applyFont="1" applyFill="1"/>
    <xf numFmtId="43" fontId="0" fillId="0" borderId="0" xfId="0" applyNumberFormat="1" applyFill="1"/>
    <xf numFmtId="3" fontId="0" fillId="0" borderId="0" xfId="0" applyNumberFormat="1" applyFill="1"/>
    <xf numFmtId="43" fontId="10" fillId="0" borderId="0" xfId="0" applyNumberFormat="1" applyFont="1" applyFill="1"/>
    <xf numFmtId="44" fontId="0" fillId="0" borderId="0" xfId="0" applyNumberFormat="1" applyFill="1"/>
    <xf numFmtId="0" fontId="0" fillId="0" borderId="0" xfId="0" applyBorder="1"/>
    <xf numFmtId="164" fontId="13" fillId="0" borderId="0" xfId="2" applyFont="1" applyFill="1" applyBorder="1"/>
    <xf numFmtId="0" fontId="0" fillId="0" borderId="0" xfId="0" applyFill="1" applyBorder="1"/>
    <xf numFmtId="0" fontId="15" fillId="7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43" fontId="15" fillId="0" borderId="2" xfId="1" applyFont="1" applyBorder="1" applyAlignment="1">
      <alignment horizontal="center" vertical="center" wrapText="1"/>
    </xf>
    <xf numFmtId="10" fontId="15" fillId="0" borderId="2" xfId="0" applyNumberFormat="1" applyFont="1" applyBorder="1" applyAlignment="1">
      <alignment horizontal="center" vertical="center" wrapText="1"/>
    </xf>
    <xf numFmtId="4" fontId="15" fillId="0" borderId="2" xfId="0" applyNumberFormat="1" applyFont="1" applyBorder="1" applyAlignment="1">
      <alignment horizontal="left" vertical="center" wrapText="1"/>
    </xf>
    <xf numFmtId="9" fontId="15" fillId="0" borderId="2" xfId="0" applyNumberFormat="1" applyFont="1" applyBorder="1" applyAlignment="1">
      <alignment horizontal="center" vertical="center" wrapText="1"/>
    </xf>
    <xf numFmtId="164" fontId="0" fillId="0" borderId="0" xfId="0" applyNumberFormat="1"/>
    <xf numFmtId="164" fontId="13" fillId="0" borderId="3" xfId="2" applyFont="1" applyBorder="1"/>
    <xf numFmtId="0" fontId="0" fillId="0" borderId="4" xfId="0" applyBorder="1"/>
    <xf numFmtId="0" fontId="0" fillId="0" borderId="3" xfId="0" applyBorder="1"/>
    <xf numFmtId="0" fontId="12" fillId="0" borderId="4" xfId="0" applyFont="1" applyBorder="1" applyAlignment="1">
      <alignment horizontal="center"/>
    </xf>
    <xf numFmtId="164" fontId="7" fillId="0" borderId="4" xfId="2" applyFont="1" applyBorder="1"/>
    <xf numFmtId="164" fontId="13" fillId="0" borderId="4" xfId="2" applyFont="1" applyBorder="1"/>
    <xf numFmtId="43" fontId="13" fillId="0" borderId="4" xfId="1" applyFont="1" applyBorder="1" applyAlignment="1">
      <alignment horizontal="center"/>
    </xf>
    <xf numFmtId="0" fontId="8" fillId="0" borderId="4" xfId="0" applyFont="1" applyBorder="1"/>
    <xf numFmtId="0" fontId="12" fillId="0" borderId="3" xfId="0" applyFont="1" applyBorder="1" applyAlignment="1">
      <alignment horizontal="center"/>
    </xf>
    <xf numFmtId="164" fontId="7" fillId="0" borderId="3" xfId="2" applyFont="1" applyBorder="1"/>
    <xf numFmtId="0" fontId="8" fillId="0" borderId="3" xfId="0" applyFont="1" applyBorder="1"/>
    <xf numFmtId="0" fontId="0" fillId="0" borderId="1" xfId="0" applyBorder="1"/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164" fontId="14" fillId="6" borderId="2" xfId="2" applyFont="1" applyFill="1" applyBorder="1" applyAlignment="1">
      <alignment vertical="center"/>
    </xf>
    <xf numFmtId="164" fontId="13" fillId="0" borderId="0" xfId="2" applyFont="1" applyBorder="1"/>
    <xf numFmtId="164" fontId="0" fillId="0" borderId="0" xfId="0" applyNumberFormat="1" applyFill="1"/>
    <xf numFmtId="4" fontId="15" fillId="0" borderId="0" xfId="0" applyNumberFormat="1" applyFont="1" applyBorder="1" applyAlignment="1">
      <alignment horizontal="left" vertical="center" wrapText="1"/>
    </xf>
    <xf numFmtId="10" fontId="15" fillId="0" borderId="0" xfId="0" applyNumberFormat="1" applyFont="1" applyBorder="1" applyAlignment="1">
      <alignment horizontal="center" vertical="center" wrapText="1"/>
    </xf>
    <xf numFmtId="43" fontId="15" fillId="0" borderId="0" xfId="1" applyFont="1" applyBorder="1" applyAlignment="1">
      <alignment horizontal="center" vertical="center" wrapText="1"/>
    </xf>
    <xf numFmtId="0" fontId="3" fillId="4" borderId="0" xfId="0" applyFont="1" applyFill="1" applyAlignment="1"/>
    <xf numFmtId="164" fontId="0" fillId="0" borderId="3" xfId="0" applyNumberFormat="1" applyBorder="1"/>
    <xf numFmtId="44" fontId="0" fillId="0" borderId="0" xfId="0" applyNumberFormat="1"/>
    <xf numFmtId="43" fontId="0" fillId="0" borderId="0" xfId="1" applyNumberFormat="1" applyFont="1" applyFill="1"/>
    <xf numFmtId="43" fontId="0" fillId="0" borderId="0" xfId="1" applyNumberFormat="1" applyFont="1"/>
    <xf numFmtId="0" fontId="16" fillId="0" borderId="0" xfId="0" applyFont="1"/>
    <xf numFmtId="0" fontId="16" fillId="9" borderId="0" xfId="0" applyFont="1" applyFill="1"/>
    <xf numFmtId="0" fontId="16" fillId="0" borderId="0" xfId="0" applyFont="1" applyFill="1"/>
    <xf numFmtId="0" fontId="19" fillId="9" borderId="0" xfId="0" applyFont="1" applyFill="1"/>
    <xf numFmtId="0" fontId="19" fillId="9" borderId="0" xfId="0" applyFont="1" applyFill="1" applyProtection="1">
      <protection locked="0"/>
    </xf>
    <xf numFmtId="0" fontId="18" fillId="9" borderId="0" xfId="0" applyFont="1" applyFill="1" applyAlignment="1"/>
    <xf numFmtId="0" fontId="16" fillId="0" borderId="0" xfId="0" applyFont="1" applyAlignment="1">
      <alignment horizontal="left" indent="4"/>
    </xf>
    <xf numFmtId="0" fontId="3" fillId="0" borderId="0" xfId="0" applyFont="1" applyAlignment="1">
      <alignment horizontal="center" wrapText="1"/>
    </xf>
    <xf numFmtId="43" fontId="13" fillId="0" borderId="2" xfId="1" applyFont="1" applyBorder="1"/>
    <xf numFmtId="164" fontId="16" fillId="0" borderId="0" xfId="0" applyNumberFormat="1" applyFont="1"/>
    <xf numFmtId="0" fontId="0" fillId="12" borderId="0" xfId="0" applyFill="1"/>
    <xf numFmtId="43" fontId="2" fillId="12" borderId="0" xfId="1" applyFont="1" applyFill="1"/>
    <xf numFmtId="43" fontId="0" fillId="12" borderId="0" xfId="0" applyNumberFormat="1" applyFill="1"/>
    <xf numFmtId="0" fontId="0" fillId="0" borderId="0" xfId="0" applyNumberFormat="1"/>
    <xf numFmtId="0" fontId="3" fillId="2" borderId="0" xfId="0" applyFont="1" applyFill="1" applyBorder="1"/>
    <xf numFmtId="164" fontId="13" fillId="2" borderId="0" xfId="2" applyFont="1" applyFill="1" applyBorder="1"/>
    <xf numFmtId="4" fontId="0" fillId="0" borderId="0" xfId="0" applyNumberFormat="1"/>
    <xf numFmtId="43" fontId="0" fillId="0" borderId="1" xfId="1" applyFont="1" applyBorder="1"/>
    <xf numFmtId="164" fontId="3" fillId="0" borderId="0" xfId="0" applyNumberFormat="1" applyFont="1"/>
    <xf numFmtId="0" fontId="3" fillId="4" borderId="0" xfId="0" applyFont="1" applyFill="1" applyAlignment="1">
      <alignment horizontal="center"/>
    </xf>
    <xf numFmtId="0" fontId="3" fillId="12" borderId="0" xfId="0" applyFont="1" applyFill="1" applyAlignment="1">
      <alignment horizontal="center"/>
    </xf>
    <xf numFmtId="43" fontId="3" fillId="0" borderId="0" xfId="1" applyFont="1" applyAlignment="1">
      <alignment horizontal="center"/>
    </xf>
    <xf numFmtId="0" fontId="3" fillId="5" borderId="0" xfId="0" applyFont="1" applyFill="1" applyAlignment="1">
      <alignment horizontal="center"/>
    </xf>
    <xf numFmtId="0" fontId="3" fillId="7" borderId="0" xfId="0" applyFont="1" applyFill="1" applyAlignment="1">
      <alignment horizontal="center"/>
    </xf>
    <xf numFmtId="0" fontId="18" fillId="10" borderId="5" xfId="0" applyFont="1" applyFill="1" applyBorder="1" applyAlignment="1">
      <alignment horizontal="left" vertical="center"/>
    </xf>
    <xf numFmtId="0" fontId="18" fillId="10" borderId="8" xfId="0" applyFont="1" applyFill="1" applyBorder="1" applyAlignment="1">
      <alignment horizontal="left" vertical="center"/>
    </xf>
    <xf numFmtId="0" fontId="18" fillId="10" borderId="6" xfId="0" applyFont="1" applyFill="1" applyBorder="1" applyAlignment="1">
      <alignment horizontal="left" vertical="center"/>
    </xf>
    <xf numFmtId="44" fontId="19" fillId="9" borderId="5" xfId="0" applyNumberFormat="1" applyFont="1" applyFill="1" applyBorder="1" applyAlignment="1" applyProtection="1">
      <alignment horizontal="center"/>
      <protection locked="0"/>
    </xf>
    <xf numFmtId="44" fontId="19" fillId="9" borderId="8" xfId="0" applyNumberFormat="1" applyFont="1" applyFill="1" applyBorder="1" applyAlignment="1" applyProtection="1">
      <alignment horizontal="center"/>
      <protection locked="0"/>
    </xf>
    <xf numFmtId="44" fontId="19" fillId="9" borderId="6" xfId="0" applyNumberFormat="1" applyFont="1" applyFill="1" applyBorder="1" applyAlignment="1" applyProtection="1">
      <alignment horizontal="center"/>
      <protection locked="0"/>
    </xf>
    <xf numFmtId="0" fontId="21" fillId="8" borderId="0" xfId="0" applyFont="1" applyFill="1" applyAlignment="1">
      <alignment horizontal="center" vertical="center"/>
    </xf>
    <xf numFmtId="0" fontId="18" fillId="10" borderId="2" xfId="0" applyFont="1" applyFill="1" applyBorder="1" applyAlignment="1">
      <alignment horizontal="left" vertical="center"/>
    </xf>
    <xf numFmtId="44" fontId="19" fillId="9" borderId="2" xfId="0" applyNumberFormat="1" applyFont="1" applyFill="1" applyBorder="1" applyAlignment="1" applyProtection="1">
      <alignment horizontal="center" vertical="center"/>
      <protection locked="0"/>
    </xf>
    <xf numFmtId="0" fontId="19" fillId="9" borderId="2" xfId="0" applyFont="1" applyFill="1" applyBorder="1" applyAlignment="1" applyProtection="1">
      <alignment horizontal="right"/>
      <protection locked="0"/>
    </xf>
    <xf numFmtId="44" fontId="19" fillId="9" borderId="2" xfId="0" applyNumberFormat="1" applyFont="1" applyFill="1" applyBorder="1" applyAlignment="1" applyProtection="1">
      <alignment horizontal="center"/>
      <protection locked="0"/>
    </xf>
    <xf numFmtId="0" fontId="20" fillId="11" borderId="2" xfId="0" applyFont="1" applyFill="1" applyBorder="1" applyAlignment="1">
      <alignment horizontal="center" vertical="center"/>
    </xf>
    <xf numFmtId="0" fontId="20" fillId="11" borderId="5" xfId="0" applyFont="1" applyFill="1" applyBorder="1" applyAlignment="1">
      <alignment horizontal="center" vertical="center"/>
    </xf>
    <xf numFmtId="44" fontId="19" fillId="9" borderId="2" xfId="0" applyNumberFormat="1" applyFont="1" applyFill="1" applyBorder="1" applyAlignment="1" applyProtection="1">
      <alignment horizontal="center"/>
    </xf>
    <xf numFmtId="0" fontId="19" fillId="10" borderId="2" xfId="0" applyFont="1" applyFill="1" applyBorder="1" applyAlignment="1">
      <alignment horizontal="left" vertical="center"/>
    </xf>
    <xf numFmtId="44" fontId="19" fillId="9" borderId="5" xfId="0" applyNumberFormat="1" applyFont="1" applyFill="1" applyBorder="1" applyAlignment="1" applyProtection="1">
      <alignment horizontal="center"/>
    </xf>
    <xf numFmtId="0" fontId="19" fillId="9" borderId="7" xfId="0" applyFont="1" applyFill="1" applyBorder="1" applyAlignment="1">
      <alignment horizontal="center"/>
    </xf>
    <xf numFmtId="0" fontId="16" fillId="0" borderId="2" xfId="0" applyFont="1" applyBorder="1" applyAlignment="1">
      <alignment horizontal="center" vertical="center" wrapText="1"/>
    </xf>
    <xf numFmtId="0" fontId="17" fillId="9" borderId="0" xfId="0" applyFont="1" applyFill="1" applyBorder="1" applyAlignment="1">
      <alignment horizontal="left"/>
    </xf>
    <xf numFmtId="44" fontId="19" fillId="9" borderId="8" xfId="0" applyNumberFormat="1" applyFont="1" applyFill="1" applyBorder="1" applyAlignment="1" applyProtection="1">
      <alignment horizont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C85132"/>
      <color rgb="FFC6C396"/>
      <color rgb="FFBAB991"/>
      <color rgb="FFACAB8A"/>
      <color rgb="FF14787B"/>
      <color rgb="FF849A7C"/>
      <color rgb="FFDDAB2A"/>
      <color rgb="FF3B673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11</xdr:col>
      <xdr:colOff>15875</xdr:colOff>
      <xdr:row>8</xdr:row>
      <xdr:rowOff>533315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6824F5B-F9E6-42CA-AEFC-B431794B12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0858500" cy="2533564"/>
        </a:xfrm>
        <a:prstGeom prst="rect">
          <a:avLst/>
        </a:prstGeom>
      </xdr:spPr>
    </xdr:pic>
    <xdr:clientData/>
  </xdr:twoCellAnchor>
  <xdr:twoCellAnchor editAs="oneCell">
    <xdr:from>
      <xdr:col>0</xdr:col>
      <xdr:colOff>11206</xdr:colOff>
      <xdr:row>39</xdr:row>
      <xdr:rowOff>56029</xdr:rowOff>
    </xdr:from>
    <xdr:to>
      <xdr:col>11</xdr:col>
      <xdr:colOff>9525</xdr:colOff>
      <xdr:row>55</xdr:row>
      <xdr:rowOff>172884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4BA78936-128B-4B80-908C-632769A6A6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" y="9638179"/>
          <a:ext cx="10856819" cy="37458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necila/Downloads/Simulacao%20IR-Anual_2020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oio"/>
      <sheetName val="Modelo1"/>
      <sheetName val="Simulador IR"/>
      <sheetName val="Modelo3"/>
    </sheetNames>
    <sheetDataSet>
      <sheetData sheetId="0"/>
      <sheetData sheetId="1"/>
      <sheetData sheetId="2">
        <row r="42">
          <cell r="D42">
            <v>158329.58000000002</v>
          </cell>
        </row>
      </sheetData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Jonatan Bispo" id="{0997EEE3-5CDA-4CCA-93FB-E8BA0B669FF2}" userId="Jonatan Bispo" providerId="None"/>
</personList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0E46E-6C0B-4063-B393-3ACACC11B436}">
  <sheetPr codeName="Planilha1"/>
  <dimension ref="B2:J44"/>
  <sheetViews>
    <sheetView topLeftCell="A19" workbookViewId="0">
      <selection activeCell="B26" sqref="B26:F26"/>
    </sheetView>
  </sheetViews>
  <sheetFormatPr defaultRowHeight="15" x14ac:dyDescent="0.25"/>
  <cols>
    <col min="2" max="2" width="28.85546875" bestFit="1" customWidth="1"/>
    <col min="3" max="3" width="13.28515625" customWidth="1"/>
    <col min="4" max="4" width="19" customWidth="1"/>
    <col min="5" max="5" width="10.5703125" bestFit="1" customWidth="1"/>
    <col min="6" max="6" width="12.28515625" bestFit="1" customWidth="1"/>
    <col min="8" max="8" width="19.7109375" customWidth="1"/>
    <col min="9" max="9" width="10.5703125" bestFit="1" customWidth="1"/>
    <col min="10" max="10" width="16.140625" bestFit="1" customWidth="1"/>
  </cols>
  <sheetData>
    <row r="2" spans="2:10" x14ac:dyDescent="0.25">
      <c r="B2" s="97" t="s">
        <v>20</v>
      </c>
      <c r="C2" s="97"/>
      <c r="D2" s="97"/>
      <c r="E2" s="97"/>
      <c r="F2" s="97"/>
    </row>
    <row r="5" spans="2:10" x14ac:dyDescent="0.25">
      <c r="B5" s="97" t="s">
        <v>15</v>
      </c>
      <c r="C5" s="97"/>
      <c r="D5" s="97"/>
      <c r="E5" s="97"/>
      <c r="F5" s="97"/>
    </row>
    <row r="6" spans="2:10" x14ac:dyDescent="0.25">
      <c r="D6" s="9" t="s">
        <v>0</v>
      </c>
      <c r="E6" s="9" t="s">
        <v>1</v>
      </c>
    </row>
    <row r="7" spans="2:10" x14ac:dyDescent="0.25">
      <c r="B7" s="13" t="s">
        <v>13</v>
      </c>
      <c r="C7" s="15">
        <v>150000</v>
      </c>
      <c r="D7" s="3">
        <f>C7/12</f>
        <v>12500</v>
      </c>
    </row>
    <row r="8" spans="2:10" x14ac:dyDescent="0.25">
      <c r="B8" t="s">
        <v>6</v>
      </c>
      <c r="C8" s="2">
        <v>0.12</v>
      </c>
      <c r="D8" s="4">
        <v>8.5000000000000006E-2</v>
      </c>
      <c r="E8" s="5">
        <f>SUM(C8:D8)</f>
        <v>0.20500000000000002</v>
      </c>
      <c r="H8" s="7">
        <f>C7*E8</f>
        <v>30750.000000000004</v>
      </c>
      <c r="I8" s="6" t="s">
        <v>19</v>
      </c>
    </row>
    <row r="9" spans="2:10" x14ac:dyDescent="0.25">
      <c r="B9" s="6" t="s">
        <v>7</v>
      </c>
      <c r="C9" s="8">
        <f>C7*C8</f>
        <v>18000</v>
      </c>
      <c r="D9" s="3">
        <f>(D7-5839.45)*D8</f>
        <v>566.14675000000011</v>
      </c>
      <c r="E9" s="3">
        <f>D9*12</f>
        <v>6793.7610000000013</v>
      </c>
      <c r="F9" t="s">
        <v>2</v>
      </c>
    </row>
    <row r="10" spans="2:10" x14ac:dyDescent="0.25">
      <c r="B10" t="s">
        <v>14</v>
      </c>
      <c r="C10" s="1">
        <v>18000</v>
      </c>
    </row>
    <row r="12" spans="2:10" x14ac:dyDescent="0.25">
      <c r="B12" s="16" t="s">
        <v>21</v>
      </c>
      <c r="C12" s="17">
        <f>SUM(C9:C10)</f>
        <v>36000</v>
      </c>
    </row>
    <row r="13" spans="2:10" x14ac:dyDescent="0.25">
      <c r="C13" s="1"/>
    </row>
    <row r="14" spans="2:10" x14ac:dyDescent="0.25">
      <c r="B14" s="6" t="s">
        <v>8</v>
      </c>
      <c r="C14" s="8">
        <f>C7-C9</f>
        <v>132000</v>
      </c>
      <c r="E14" s="1">
        <v>18000</v>
      </c>
      <c r="F14" t="s">
        <v>3</v>
      </c>
      <c r="H14" s="4">
        <v>0.27500000000000002</v>
      </c>
      <c r="I14" s="1">
        <v>10432.32</v>
      </c>
      <c r="J14" t="s">
        <v>4</v>
      </c>
    </row>
    <row r="15" spans="2:10" x14ac:dyDescent="0.25">
      <c r="B15" s="6" t="s">
        <v>9</v>
      </c>
      <c r="C15" s="3">
        <f>-E9</f>
        <v>-6793.7610000000013</v>
      </c>
    </row>
    <row r="16" spans="2:10" x14ac:dyDescent="0.25">
      <c r="B16" s="6" t="s">
        <v>30</v>
      </c>
      <c r="C16" s="1">
        <v>-7461.6</v>
      </c>
    </row>
    <row r="17" spans="2:8" x14ac:dyDescent="0.25">
      <c r="B17" s="6"/>
      <c r="C17" s="1"/>
    </row>
    <row r="18" spans="2:8" x14ac:dyDescent="0.25">
      <c r="B18" s="10" t="s">
        <v>10</v>
      </c>
      <c r="C18" s="11">
        <f>SUM(C14:C16)</f>
        <v>117744.639</v>
      </c>
      <c r="E18" s="3">
        <f>SUM(E9:E14)</f>
        <v>24793.761000000002</v>
      </c>
    </row>
    <row r="19" spans="2:8" x14ac:dyDescent="0.25">
      <c r="B19" s="1"/>
    </row>
    <row r="20" spans="2:8" x14ac:dyDescent="0.25">
      <c r="B20" s="12" t="s">
        <v>5</v>
      </c>
      <c r="C20" s="11">
        <f>C18</f>
        <v>117744.639</v>
      </c>
    </row>
    <row r="21" spans="2:8" x14ac:dyDescent="0.25">
      <c r="B21" t="s">
        <v>11</v>
      </c>
      <c r="C21" s="1">
        <f>(C20*27.5%)-10432.32</f>
        <v>21947.455725000003</v>
      </c>
    </row>
    <row r="22" spans="2:8" x14ac:dyDescent="0.25">
      <c r="C22" s="1"/>
      <c r="H22" s="3">
        <f>H8-C9</f>
        <v>12750.000000000004</v>
      </c>
    </row>
    <row r="23" spans="2:8" x14ac:dyDescent="0.25">
      <c r="B23" s="13" t="s">
        <v>12</v>
      </c>
      <c r="C23" s="14">
        <f>C21</f>
        <v>21947.455725000003</v>
      </c>
      <c r="H23" s="3"/>
    </row>
    <row r="24" spans="2:8" x14ac:dyDescent="0.25">
      <c r="C24" s="3"/>
      <c r="D24" s="4"/>
    </row>
    <row r="26" spans="2:8" x14ac:dyDescent="0.25">
      <c r="B26" s="97" t="s">
        <v>16</v>
      </c>
      <c r="C26" s="97"/>
      <c r="D26" s="97"/>
      <c r="E26" s="97"/>
      <c r="F26" s="97"/>
    </row>
    <row r="29" spans="2:8" x14ac:dyDescent="0.25">
      <c r="D29" s="9" t="s">
        <v>0</v>
      </c>
      <c r="E29" s="9" t="s">
        <v>1</v>
      </c>
    </row>
    <row r="30" spans="2:8" x14ac:dyDescent="0.25">
      <c r="B30" s="13" t="s">
        <v>13</v>
      </c>
      <c r="C30" s="15">
        <v>100000</v>
      </c>
      <c r="D30" s="3">
        <f>C30/12</f>
        <v>8333.3333333333339</v>
      </c>
    </row>
    <row r="31" spans="2:8" x14ac:dyDescent="0.25">
      <c r="B31" t="s">
        <v>6</v>
      </c>
      <c r="C31" s="2">
        <v>0.12</v>
      </c>
      <c r="D31" s="4">
        <v>8.5000000000000006E-2</v>
      </c>
      <c r="E31" s="5"/>
    </row>
    <row r="32" spans="2:8" x14ac:dyDescent="0.25">
      <c r="B32" s="6" t="s">
        <v>7</v>
      </c>
      <c r="C32" s="8">
        <f>C30*C31</f>
        <v>12000</v>
      </c>
      <c r="D32" s="3">
        <f>D30*D31</f>
        <v>708.33333333333348</v>
      </c>
      <c r="E32" s="3">
        <v>12000</v>
      </c>
    </row>
    <row r="33" spans="2:6" x14ac:dyDescent="0.25">
      <c r="B33" t="s">
        <v>14</v>
      </c>
      <c r="C33" s="1">
        <v>8500</v>
      </c>
      <c r="E33" s="1">
        <v>8500</v>
      </c>
      <c r="F33" t="s">
        <v>17</v>
      </c>
    </row>
    <row r="34" spans="2:6" x14ac:dyDescent="0.25">
      <c r="C34" s="1"/>
    </row>
    <row r="35" spans="2:6" x14ac:dyDescent="0.25">
      <c r="C35" s="1"/>
      <c r="E35" s="7">
        <f>SUM(E32:E34)</f>
        <v>20500</v>
      </c>
      <c r="F35" t="s">
        <v>18</v>
      </c>
    </row>
    <row r="36" spans="2:6" x14ac:dyDescent="0.25">
      <c r="B36" s="6" t="s">
        <v>8</v>
      </c>
      <c r="C36" s="8">
        <f>C30-C32</f>
        <v>88000</v>
      </c>
      <c r="E36" s="1"/>
    </row>
    <row r="37" spans="2:6" x14ac:dyDescent="0.25">
      <c r="B37" s="6" t="s">
        <v>9</v>
      </c>
      <c r="C37" s="3">
        <v>0</v>
      </c>
    </row>
    <row r="38" spans="2:6" x14ac:dyDescent="0.25">
      <c r="B38" s="10" t="s">
        <v>10</v>
      </c>
      <c r="C38" s="11">
        <f>SUM(C36:C37)</f>
        <v>88000</v>
      </c>
      <c r="E38" s="3"/>
    </row>
    <row r="39" spans="2:6" x14ac:dyDescent="0.25">
      <c r="B39" s="1"/>
    </row>
    <row r="40" spans="2:6" x14ac:dyDescent="0.25">
      <c r="B40" s="12" t="s">
        <v>5</v>
      </c>
      <c r="C40" s="11">
        <f>C38</f>
        <v>88000</v>
      </c>
    </row>
    <row r="41" spans="2:6" x14ac:dyDescent="0.25">
      <c r="B41" t="s">
        <v>11</v>
      </c>
      <c r="C41" s="1">
        <f>(C40*27.5%)-10432.32</f>
        <v>13767.680000000004</v>
      </c>
    </row>
    <row r="42" spans="2:6" x14ac:dyDescent="0.25">
      <c r="C42" s="1"/>
    </row>
    <row r="43" spans="2:6" x14ac:dyDescent="0.25">
      <c r="B43" s="13" t="s">
        <v>12</v>
      </c>
      <c r="C43" s="14">
        <f>C41</f>
        <v>13767.680000000004</v>
      </c>
    </row>
    <row r="44" spans="2:6" x14ac:dyDescent="0.25">
      <c r="C44" s="3"/>
      <c r="D44" s="4"/>
    </row>
  </sheetData>
  <mergeCells count="3">
    <mergeCell ref="B5:F5"/>
    <mergeCell ref="B26:F26"/>
    <mergeCell ref="B2:F2"/>
  </mergeCells>
  <pageMargins left="0.511811024" right="0.511811024" top="0.78740157499999996" bottom="0.78740157499999996" header="0.31496062000000002" footer="0.31496062000000002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F61AD-6738-4706-86D6-10E743E4D287}">
  <sheetPr codeName="Planilha2"/>
  <dimension ref="B2:O82"/>
  <sheetViews>
    <sheetView topLeftCell="A36" zoomScaleNormal="100" workbookViewId="0">
      <selection activeCell="D54" sqref="D54"/>
    </sheetView>
  </sheetViews>
  <sheetFormatPr defaultRowHeight="15" x14ac:dyDescent="0.25"/>
  <cols>
    <col min="1" max="1" width="2.85546875" customWidth="1"/>
    <col min="2" max="2" width="56.28515625" customWidth="1"/>
    <col min="3" max="3" width="17.85546875" bestFit="1" customWidth="1"/>
    <col min="4" max="4" width="26.42578125" customWidth="1"/>
    <col min="5" max="5" width="25.28515625" customWidth="1"/>
    <col min="6" max="6" width="21.7109375" customWidth="1"/>
    <col min="7" max="7" width="20" bestFit="1" customWidth="1"/>
    <col min="8" max="8" width="16.5703125" customWidth="1"/>
    <col min="9" max="9" width="15.28515625" bestFit="1" customWidth="1"/>
    <col min="10" max="10" width="16.140625" customWidth="1"/>
    <col min="11" max="12" width="16.85546875" bestFit="1" customWidth="1"/>
    <col min="13" max="13" width="10.5703125" bestFit="1" customWidth="1"/>
    <col min="14" max="14" width="10.28515625" bestFit="1" customWidth="1"/>
    <col min="15" max="15" width="10.5703125" bestFit="1" customWidth="1"/>
  </cols>
  <sheetData>
    <row r="2" spans="2:14" x14ac:dyDescent="0.25">
      <c r="E2" s="3"/>
    </row>
    <row r="5" spans="2:14" x14ac:dyDescent="0.25">
      <c r="B5" s="97" t="s">
        <v>15</v>
      </c>
      <c r="C5" s="97"/>
      <c r="D5" s="73"/>
      <c r="E5" s="73"/>
      <c r="F5" s="73"/>
      <c r="G5" s="73"/>
    </row>
    <row r="6" spans="2:14" x14ac:dyDescent="0.25">
      <c r="E6" s="9" t="s">
        <v>0</v>
      </c>
      <c r="F6" s="9" t="s">
        <v>1</v>
      </c>
    </row>
    <row r="7" spans="2:14" x14ac:dyDescent="0.25">
      <c r="B7" s="13" t="s">
        <v>13</v>
      </c>
      <c r="C7" s="15">
        <v>150000</v>
      </c>
      <c r="D7" s="15"/>
      <c r="E7" s="3">
        <f>C7-(5839.45*12)</f>
        <v>79926.600000000006</v>
      </c>
    </row>
    <row r="8" spans="2:14" x14ac:dyDescent="0.25">
      <c r="B8" t="s">
        <v>6</v>
      </c>
      <c r="C8" s="2">
        <v>0.12</v>
      </c>
      <c r="D8" s="2"/>
      <c r="E8" s="4">
        <v>8.5000000000000006E-2</v>
      </c>
      <c r="F8" s="5"/>
      <c r="H8" s="33"/>
      <c r="I8" s="34"/>
      <c r="J8" s="35"/>
      <c r="K8" s="33"/>
      <c r="L8" s="33"/>
      <c r="M8" s="33"/>
      <c r="N8" s="33"/>
    </row>
    <row r="9" spans="2:14" x14ac:dyDescent="0.25">
      <c r="B9" s="6" t="s">
        <v>7</v>
      </c>
      <c r="C9" s="8">
        <f>C7*C8</f>
        <v>18000</v>
      </c>
      <c r="D9" s="8"/>
      <c r="E9" s="30">
        <f>(E7*E8)/12</f>
        <v>566.14675000000011</v>
      </c>
      <c r="F9" s="30">
        <f>E9*12</f>
        <v>6793.7610000000013</v>
      </c>
      <c r="H9" s="33"/>
      <c r="I9" s="33"/>
      <c r="J9" s="33"/>
      <c r="K9" s="33"/>
      <c r="L9" s="33"/>
      <c r="M9" s="33"/>
      <c r="N9" s="33"/>
    </row>
    <row r="10" spans="2:14" x14ac:dyDescent="0.25">
      <c r="B10" t="s">
        <v>14</v>
      </c>
      <c r="C10" s="1">
        <v>18000</v>
      </c>
      <c r="D10" s="1"/>
      <c r="H10" s="33"/>
      <c r="I10" s="33"/>
      <c r="J10" s="33"/>
      <c r="K10" s="33"/>
      <c r="L10" s="33"/>
      <c r="M10" s="33"/>
      <c r="N10" s="33"/>
    </row>
    <row r="11" spans="2:14" x14ac:dyDescent="0.25">
      <c r="B11" s="16" t="s">
        <v>21</v>
      </c>
      <c r="C11" s="17">
        <f>SUM(C9:C10)</f>
        <v>36000</v>
      </c>
      <c r="D11" s="17"/>
      <c r="H11" s="33"/>
      <c r="I11" s="33"/>
      <c r="J11" s="33"/>
      <c r="K11" s="33"/>
      <c r="L11" s="33"/>
      <c r="M11" s="33"/>
      <c r="N11" s="33"/>
    </row>
    <row r="12" spans="2:14" x14ac:dyDescent="0.25">
      <c r="C12" s="1"/>
      <c r="D12" s="1"/>
      <c r="H12" s="33"/>
      <c r="I12" s="33"/>
      <c r="J12" s="33"/>
      <c r="K12" s="33"/>
      <c r="L12" s="33"/>
      <c r="M12" s="33"/>
      <c r="N12" s="33"/>
    </row>
    <row r="13" spans="2:14" x14ac:dyDescent="0.25">
      <c r="B13" s="6" t="s">
        <v>8</v>
      </c>
      <c r="C13" s="8">
        <f>C7-C9</f>
        <v>132000</v>
      </c>
      <c r="D13" s="8"/>
      <c r="F13" s="1"/>
      <c r="H13" s="33"/>
      <c r="I13" s="36"/>
      <c r="J13" s="37"/>
      <c r="K13" s="33"/>
      <c r="L13" s="33"/>
      <c r="M13" s="33"/>
      <c r="N13" s="33"/>
    </row>
    <row r="14" spans="2:14" x14ac:dyDescent="0.25">
      <c r="B14" s="6" t="s">
        <v>9</v>
      </c>
      <c r="C14" s="3">
        <f>-F9</f>
        <v>-6793.7610000000013</v>
      </c>
      <c r="D14" s="3"/>
      <c r="H14" s="33"/>
      <c r="I14" s="33"/>
      <c r="J14" s="33"/>
      <c r="K14" s="33"/>
      <c r="L14" s="33"/>
      <c r="M14" s="33"/>
      <c r="N14" s="33"/>
    </row>
    <row r="15" spans="2:14" x14ac:dyDescent="0.25">
      <c r="B15" s="10" t="s">
        <v>10</v>
      </c>
      <c r="C15" s="11">
        <f>SUM(C13:C14)</f>
        <v>125206.239</v>
      </c>
      <c r="D15" s="11"/>
      <c r="F15" s="3"/>
      <c r="H15" s="33"/>
      <c r="I15" s="33"/>
      <c r="J15" s="33"/>
      <c r="K15" s="33"/>
      <c r="L15" s="33"/>
      <c r="M15" s="33"/>
      <c r="N15" s="33"/>
    </row>
    <row r="16" spans="2:14" x14ac:dyDescent="0.25">
      <c r="B16" s="1"/>
      <c r="H16" s="33"/>
      <c r="I16" s="33"/>
      <c r="J16" s="33"/>
      <c r="K16" s="33"/>
      <c r="L16" s="33"/>
      <c r="M16" s="33"/>
      <c r="N16" s="33"/>
    </row>
    <row r="17" spans="2:14" ht="45" x14ac:dyDescent="0.25">
      <c r="B17" s="12" t="s">
        <v>5</v>
      </c>
      <c r="C17" s="11">
        <f>C15</f>
        <v>125206.239</v>
      </c>
      <c r="D17" s="11"/>
      <c r="H17" s="45" t="s">
        <v>49</v>
      </c>
      <c r="I17" s="45" t="s">
        <v>50</v>
      </c>
      <c r="J17" s="45" t="s">
        <v>51</v>
      </c>
      <c r="K17" s="33"/>
      <c r="L17" s="33"/>
      <c r="M17" s="33"/>
      <c r="N17" s="33"/>
    </row>
    <row r="18" spans="2:14" x14ac:dyDescent="0.25">
      <c r="B18" t="s">
        <v>11</v>
      </c>
      <c r="C18" s="1">
        <f>(C17*27.5%)-10432.32</f>
        <v>23999.395725000002</v>
      </c>
      <c r="D18" s="1"/>
      <c r="H18" s="49">
        <f>1903.98*12</f>
        <v>22847.760000000002</v>
      </c>
      <c r="I18" s="46" t="s">
        <v>52</v>
      </c>
      <c r="J18" s="46" t="s">
        <v>52</v>
      </c>
      <c r="K18" s="33"/>
      <c r="L18" s="33"/>
      <c r="M18" s="33"/>
      <c r="N18" s="33"/>
    </row>
    <row r="19" spans="2:14" x14ac:dyDescent="0.25">
      <c r="C19" s="1"/>
      <c r="D19" s="1"/>
      <c r="H19" s="49">
        <f>2826.65*12</f>
        <v>33919.800000000003</v>
      </c>
      <c r="I19" s="48">
        <v>7.4999999999999997E-2</v>
      </c>
      <c r="J19" s="47">
        <f>142.8*12</f>
        <v>1713.6000000000001</v>
      </c>
      <c r="K19" s="33"/>
      <c r="L19" s="33"/>
      <c r="M19" s="33"/>
      <c r="N19" s="33"/>
    </row>
    <row r="20" spans="2:14" x14ac:dyDescent="0.25">
      <c r="B20" s="13" t="s">
        <v>12</v>
      </c>
      <c r="C20" s="14">
        <f>C18</f>
        <v>23999.395725000002</v>
      </c>
      <c r="D20" s="14"/>
      <c r="H20" s="49">
        <f>3751.05*12</f>
        <v>45012.600000000006</v>
      </c>
      <c r="I20" s="50">
        <v>0.15</v>
      </c>
      <c r="J20" s="47">
        <f>354.8*12</f>
        <v>4257.6000000000004</v>
      </c>
      <c r="K20" s="33"/>
      <c r="L20" s="33"/>
      <c r="M20" s="33"/>
      <c r="N20" s="33"/>
    </row>
    <row r="21" spans="2:14" x14ac:dyDescent="0.25">
      <c r="C21" s="3"/>
      <c r="D21" s="3"/>
      <c r="E21" s="4"/>
      <c r="H21" s="49">
        <f>4664.68*12</f>
        <v>55976.160000000003</v>
      </c>
      <c r="I21" s="48">
        <v>0.22500000000000001</v>
      </c>
      <c r="J21" s="47">
        <f>636.13*12</f>
        <v>7633.5599999999995</v>
      </c>
      <c r="K21" s="33"/>
      <c r="L21" s="33"/>
      <c r="M21" s="33"/>
      <c r="N21" s="33"/>
    </row>
    <row r="22" spans="2:14" x14ac:dyDescent="0.25">
      <c r="H22" s="49">
        <f>4664.68*12</f>
        <v>55976.160000000003</v>
      </c>
      <c r="I22" s="48">
        <v>0.27500000000000002</v>
      </c>
      <c r="J22" s="47">
        <f>869.36*12</f>
        <v>10432.32</v>
      </c>
      <c r="K22" s="33"/>
      <c r="L22" s="33"/>
      <c r="M22" s="33"/>
      <c r="N22" s="33"/>
    </row>
    <row r="23" spans="2:14" x14ac:dyDescent="0.25">
      <c r="B23" s="101" t="s">
        <v>74</v>
      </c>
      <c r="C23" s="101"/>
      <c r="D23" s="101"/>
      <c r="E23" s="101"/>
      <c r="H23" s="70"/>
      <c r="I23" s="71"/>
      <c r="J23" s="72"/>
      <c r="K23" s="33"/>
      <c r="L23" s="33"/>
      <c r="M23" s="33"/>
      <c r="N23" s="33"/>
    </row>
    <row r="24" spans="2:14" x14ac:dyDescent="0.25">
      <c r="B24" s="100" t="s">
        <v>33</v>
      </c>
      <c r="C24" s="100"/>
      <c r="D24" s="100"/>
      <c r="E24" s="100"/>
      <c r="H24" s="33"/>
      <c r="I24" s="33"/>
      <c r="J24" s="33"/>
      <c r="K24" s="33"/>
      <c r="L24" s="33"/>
      <c r="M24" s="33"/>
      <c r="N24" s="33"/>
    </row>
    <row r="25" spans="2:14" x14ac:dyDescent="0.25">
      <c r="H25" s="33"/>
      <c r="I25" s="33"/>
      <c r="J25" s="33"/>
      <c r="K25" s="33"/>
      <c r="L25" s="33"/>
      <c r="M25" s="33"/>
      <c r="N25" s="33"/>
    </row>
    <row r="26" spans="2:14" x14ac:dyDescent="0.25">
      <c r="B26" s="6" t="s">
        <v>34</v>
      </c>
      <c r="E26" s="1">
        <f>'Simulador de Benefício Fiscal'!G11</f>
        <v>215000</v>
      </c>
      <c r="F26" s="1"/>
      <c r="G26" s="1"/>
      <c r="H26" s="38"/>
      <c r="I26" s="38"/>
      <c r="J26" s="33"/>
      <c r="K26" s="33"/>
      <c r="L26" s="38"/>
      <c r="M26" s="33"/>
      <c r="N26" s="33"/>
    </row>
    <row r="27" spans="2:14" ht="8.25" customHeight="1" x14ac:dyDescent="0.25">
      <c r="H27" s="33"/>
      <c r="I27" s="33"/>
      <c r="J27" s="33"/>
      <c r="K27" s="33"/>
      <c r="L27" s="33"/>
      <c r="M27" s="33"/>
      <c r="N27" s="33"/>
    </row>
    <row r="28" spans="2:14" ht="15.75" x14ac:dyDescent="0.25">
      <c r="B28" s="18" t="s">
        <v>27</v>
      </c>
      <c r="E28">
        <f>'Simulador de Benefício Fiscal'!G12</f>
        <v>0</v>
      </c>
      <c r="F28" s="1">
        <f>E28*2275.08</f>
        <v>0</v>
      </c>
      <c r="H28" s="33"/>
      <c r="I28" s="33"/>
      <c r="J28" s="33"/>
      <c r="K28" s="33"/>
      <c r="L28" s="33"/>
      <c r="M28" s="33"/>
      <c r="N28" s="33"/>
    </row>
    <row r="29" spans="2:14" ht="7.5" customHeight="1" x14ac:dyDescent="0.25">
      <c r="H29" s="33"/>
      <c r="I29" s="33"/>
      <c r="J29" s="33"/>
      <c r="K29" s="33"/>
      <c r="L29" s="33"/>
      <c r="M29" s="33"/>
      <c r="N29" s="33"/>
    </row>
    <row r="30" spans="2:14" ht="15.75" x14ac:dyDescent="0.25">
      <c r="B30" s="18" t="s">
        <v>22</v>
      </c>
      <c r="E30" s="1">
        <f>'Simulador de Benefício Fiscal'!G13</f>
        <v>3000</v>
      </c>
      <c r="F30" s="1">
        <v>0</v>
      </c>
      <c r="H30" s="38"/>
      <c r="I30" s="33"/>
      <c r="J30" s="33"/>
      <c r="K30" s="33"/>
      <c r="L30" s="33"/>
      <c r="M30" s="33"/>
      <c r="N30" s="33"/>
    </row>
    <row r="31" spans="2:14" ht="45" customHeight="1" x14ac:dyDescent="0.25">
      <c r="B31" s="20" t="s">
        <v>29</v>
      </c>
      <c r="E31" s="32">
        <v>0</v>
      </c>
      <c r="F31" s="85" t="s">
        <v>75</v>
      </c>
      <c r="G31" s="85" t="s">
        <v>76</v>
      </c>
      <c r="H31" s="33"/>
      <c r="I31" s="33"/>
      <c r="J31" s="33"/>
      <c r="K31" s="33"/>
      <c r="L31" s="33"/>
      <c r="M31" s="33"/>
      <c r="N31" s="33"/>
    </row>
    <row r="32" spans="2:14" ht="6" customHeight="1" x14ac:dyDescent="0.25">
      <c r="G32" s="85"/>
      <c r="H32" s="33"/>
      <c r="I32" s="33"/>
      <c r="J32" s="33"/>
      <c r="K32" s="33"/>
      <c r="L32" s="33"/>
      <c r="M32" s="33"/>
      <c r="N32" s="33"/>
    </row>
    <row r="33" spans="2:15" ht="15.75" x14ac:dyDescent="0.25">
      <c r="B33" s="18" t="s">
        <v>61</v>
      </c>
      <c r="E33" s="41">
        <f>'Simulador de Benefício Fiscal'!G14</f>
        <v>0</v>
      </c>
      <c r="F33">
        <f>IF(E33&lt;3561.5,E33,"3.561,50")</f>
        <v>0</v>
      </c>
      <c r="G33" s="76">
        <v>3561.5</v>
      </c>
      <c r="H33" s="76">
        <f>IF(E33&gt;G33,G33,E33)</f>
        <v>0</v>
      </c>
      <c r="I33" s="37"/>
      <c r="J33" s="38"/>
      <c r="K33" s="33"/>
      <c r="L33" s="33"/>
      <c r="M33" s="33"/>
      <c r="N33" s="33"/>
    </row>
    <row r="34" spans="2:15" x14ac:dyDescent="0.25">
      <c r="B34" s="20" t="s">
        <v>48</v>
      </c>
      <c r="E34" s="31">
        <v>3561.5</v>
      </c>
      <c r="F34" s="1"/>
      <c r="G34" s="77"/>
      <c r="H34" s="76"/>
      <c r="I34" s="36"/>
      <c r="J34" s="38"/>
      <c r="K34" s="33"/>
      <c r="L34" s="75"/>
    </row>
    <row r="35" spans="2:15" ht="19.5" customHeight="1" x14ac:dyDescent="0.25">
      <c r="B35" t="s">
        <v>62</v>
      </c>
      <c r="E35" s="31">
        <f>'Simulador de Benefício Fiscal'!G15</f>
        <v>0</v>
      </c>
      <c r="F35">
        <f>IF(E35&lt;3561.5,E35,"3.561,50")</f>
        <v>0</v>
      </c>
      <c r="G35" s="76">
        <v>3561.5</v>
      </c>
      <c r="H35" s="76">
        <f>IF(E28&gt;0,IF(E35&gt;G35,G35,E35),0)</f>
        <v>0</v>
      </c>
      <c r="I35" s="33"/>
      <c r="J35" s="33"/>
      <c r="K35" s="33"/>
      <c r="L35" s="33"/>
      <c r="M35" s="33"/>
      <c r="N35" s="33"/>
      <c r="O35" s="1"/>
    </row>
    <row r="36" spans="2:15" ht="16.5" customHeight="1" x14ac:dyDescent="0.25">
      <c r="B36" s="18" t="s">
        <v>24</v>
      </c>
      <c r="C36" s="1"/>
      <c r="D36" s="1"/>
      <c r="E36" s="1">
        <f>'Simulador de Benefício Fiscal'!G16</f>
        <v>8</v>
      </c>
      <c r="F36" s="1">
        <f>(5845.39*14%)*12</f>
        <v>9820.2552000000014</v>
      </c>
      <c r="H36" s="39"/>
      <c r="I36" s="33"/>
      <c r="J36" s="33"/>
      <c r="K36" s="33"/>
      <c r="L36" s="33"/>
      <c r="M36" s="33"/>
      <c r="N36" s="37"/>
      <c r="O36" s="1"/>
    </row>
    <row r="37" spans="2:15" x14ac:dyDescent="0.25">
      <c r="B37" s="20" t="s">
        <v>35</v>
      </c>
      <c r="E37" s="32">
        <v>0</v>
      </c>
      <c r="H37" s="40"/>
      <c r="I37" s="38"/>
      <c r="J37" s="38"/>
      <c r="K37" s="33"/>
      <c r="L37" s="33"/>
      <c r="M37" s="33"/>
      <c r="N37" s="37"/>
      <c r="O37" s="3"/>
    </row>
    <row r="38" spans="2:15" ht="3.75" customHeight="1" x14ac:dyDescent="0.25">
      <c r="H38" s="33"/>
      <c r="I38" s="33"/>
      <c r="J38" s="33"/>
      <c r="K38" s="33"/>
      <c r="L38" s="33"/>
      <c r="M38" s="33"/>
      <c r="N38" s="33"/>
    </row>
    <row r="39" spans="2:15" ht="18" customHeight="1" x14ac:dyDescent="0.25">
      <c r="B39" s="18" t="s">
        <v>25</v>
      </c>
      <c r="E39" s="1">
        <f>'Simulador de Benefício Fiscal'!G17</f>
        <v>0</v>
      </c>
      <c r="H39" s="33"/>
      <c r="I39" s="33"/>
      <c r="J39" s="33"/>
      <c r="K39" s="33"/>
      <c r="L39" s="33"/>
      <c r="M39" s="33"/>
      <c r="N39" s="33"/>
    </row>
    <row r="40" spans="2:15" ht="18" customHeight="1" x14ac:dyDescent="0.25">
      <c r="B40" s="20" t="s">
        <v>23</v>
      </c>
      <c r="F40" s="3">
        <f>E36+E42+E44</f>
        <v>5608</v>
      </c>
      <c r="G40" s="3">
        <f>F40-12620.26</f>
        <v>-7012.26</v>
      </c>
      <c r="H40" s="33"/>
      <c r="I40" s="33"/>
      <c r="J40" s="33"/>
      <c r="K40" s="33"/>
      <c r="L40" s="33"/>
      <c r="M40" s="33"/>
      <c r="N40" s="33"/>
    </row>
    <row r="41" spans="2:15" ht="5.25" customHeight="1" x14ac:dyDescent="0.25">
      <c r="B41" s="20"/>
      <c r="H41" s="33"/>
      <c r="I41" s="33"/>
      <c r="J41" s="33"/>
      <c r="K41" s="33"/>
      <c r="L41" s="33"/>
      <c r="M41" s="33"/>
      <c r="N41" s="33"/>
    </row>
    <row r="42" spans="2:15" ht="15.75" x14ac:dyDescent="0.25">
      <c r="B42" s="18" t="s">
        <v>31</v>
      </c>
      <c r="E42" s="1">
        <f>'Simulador de Benefício Fiscal'!G18</f>
        <v>2800</v>
      </c>
      <c r="F42" s="1"/>
      <c r="H42" s="33"/>
      <c r="I42" s="33"/>
      <c r="J42" s="33"/>
      <c r="K42" s="33"/>
      <c r="L42" s="33"/>
      <c r="M42" s="33"/>
      <c r="N42" s="33"/>
    </row>
    <row r="43" spans="2:15" ht="6" customHeight="1" x14ac:dyDescent="0.25">
      <c r="B43" s="18"/>
      <c r="F43" s="1"/>
      <c r="H43" s="33"/>
      <c r="I43" s="33"/>
      <c r="J43" s="33"/>
      <c r="K43" s="33"/>
      <c r="L43" s="33"/>
      <c r="M43" s="33"/>
      <c r="N43" s="33"/>
    </row>
    <row r="44" spans="2:15" ht="15.75" x14ac:dyDescent="0.25">
      <c r="B44" s="18" t="s">
        <v>32</v>
      </c>
      <c r="E44" s="3">
        <f>'Simulador de Benefício Fiscal'!G19</f>
        <v>2800</v>
      </c>
      <c r="F44" s="99" t="s">
        <v>82</v>
      </c>
      <c r="G44" s="99"/>
      <c r="H44" s="98" t="s">
        <v>81</v>
      </c>
      <c r="I44" s="98"/>
      <c r="J44" s="33"/>
      <c r="K44" s="33"/>
      <c r="L44" s="33"/>
      <c r="M44" s="33"/>
      <c r="N44" s="33"/>
    </row>
    <row r="45" spans="2:15" ht="7.5" customHeight="1" x14ac:dyDescent="0.25">
      <c r="H45" s="88"/>
      <c r="I45" s="88"/>
      <c r="J45" s="33"/>
      <c r="K45" s="33"/>
      <c r="L45" s="33"/>
      <c r="M45" s="33"/>
      <c r="N45" s="33"/>
    </row>
    <row r="46" spans="2:15" ht="15.75" x14ac:dyDescent="0.25">
      <c r="B46" s="21" t="s">
        <v>28</v>
      </c>
      <c r="E46" s="1">
        <f>'Simulador de Benefício Fiscal'!G20</f>
        <v>0</v>
      </c>
      <c r="F46" s="22" t="s">
        <v>77</v>
      </c>
      <c r="G46" t="s">
        <v>80</v>
      </c>
      <c r="H46" s="89" t="s">
        <v>77</v>
      </c>
      <c r="I46" s="88" t="s">
        <v>78</v>
      </c>
      <c r="J46" s="33"/>
      <c r="K46" s="33"/>
      <c r="L46" s="33"/>
      <c r="M46" s="37"/>
      <c r="N46" s="33"/>
    </row>
    <row r="47" spans="2:15" x14ac:dyDescent="0.25">
      <c r="B47" s="20" t="s">
        <v>23</v>
      </c>
      <c r="E47" s="31">
        <f>IF(E44=0,(E26*12%),(E26*12%)+E44)</f>
        <v>28600</v>
      </c>
      <c r="F47" s="3">
        <f>(E26*12%)+E44</f>
        <v>28600</v>
      </c>
      <c r="G47" s="3">
        <f>(E26*12%)</f>
        <v>25800</v>
      </c>
      <c r="H47" s="90">
        <f>IF((E46+E42)&gt;F47,0,F47-(E42+E46))</f>
        <v>25800</v>
      </c>
      <c r="I47" s="90">
        <f>IF((E46+E42)&gt;G47,0,(G47-E46-E42))</f>
        <v>23000</v>
      </c>
      <c r="J47" s="33"/>
      <c r="K47" s="33"/>
      <c r="L47" s="33"/>
      <c r="M47" s="33"/>
      <c r="N47" s="33"/>
    </row>
    <row r="48" spans="2:15" x14ac:dyDescent="0.25">
      <c r="H48" s="33"/>
      <c r="I48" s="33"/>
      <c r="J48" s="33"/>
      <c r="K48" s="33"/>
      <c r="L48" s="33"/>
      <c r="M48" s="37"/>
      <c r="N48" s="33"/>
    </row>
    <row r="49" spans="2:15" ht="15.75" x14ac:dyDescent="0.25">
      <c r="B49" s="100" t="s">
        <v>36</v>
      </c>
      <c r="C49" s="100"/>
      <c r="D49" s="100"/>
      <c r="E49" s="100"/>
      <c r="G49" s="92" t="s">
        <v>83</v>
      </c>
      <c r="H49" s="93">
        <f>C52+C54+C56+C58</f>
        <v>209192</v>
      </c>
      <c r="I49" s="93">
        <f>C52+C54+C56+C58</f>
        <v>209192</v>
      </c>
      <c r="J49" s="43"/>
      <c r="K49" s="44"/>
      <c r="L49" s="44"/>
      <c r="M49" s="44"/>
      <c r="N49" s="33"/>
    </row>
    <row r="50" spans="2:15" ht="15.75" x14ac:dyDescent="0.25">
      <c r="B50" s="19"/>
      <c r="C50" s="64" t="s">
        <v>46</v>
      </c>
      <c r="D50" s="66"/>
      <c r="E50" s="65" t="s">
        <v>47</v>
      </c>
      <c r="G50" s="92" t="s">
        <v>84</v>
      </c>
      <c r="H50" s="93">
        <f>E52+E54+E56+E58+E60</f>
        <v>183392</v>
      </c>
      <c r="I50" s="33"/>
      <c r="J50" s="41"/>
      <c r="K50" s="33"/>
      <c r="L50" s="33"/>
      <c r="M50" s="33"/>
      <c r="N50" s="33"/>
      <c r="O50" s="33"/>
    </row>
    <row r="51" spans="2:15" ht="18.75" x14ac:dyDescent="0.3">
      <c r="B51" s="19"/>
      <c r="C51" s="55"/>
      <c r="D51" s="29"/>
      <c r="E51" s="60"/>
      <c r="H51" s="33"/>
      <c r="I51" s="33"/>
      <c r="J51" s="33"/>
      <c r="K51" s="33"/>
      <c r="L51" s="33"/>
      <c r="M51" s="33"/>
      <c r="N51" s="33"/>
    </row>
    <row r="52" spans="2:15" ht="15.75" x14ac:dyDescent="0.25">
      <c r="B52" s="18" t="s">
        <v>37</v>
      </c>
      <c r="C52" s="56">
        <f>$E$26</f>
        <v>215000</v>
      </c>
      <c r="D52" s="26"/>
      <c r="E52" s="61">
        <f>C52</f>
        <v>215000</v>
      </c>
      <c r="H52" s="56">
        <f>$E$26</f>
        <v>215000</v>
      </c>
      <c r="I52" s="33"/>
      <c r="J52" s="38"/>
      <c r="K52" s="33"/>
      <c r="L52" s="38"/>
      <c r="M52" s="33"/>
      <c r="N52" s="33"/>
    </row>
    <row r="53" spans="2:15" ht="15.75" x14ac:dyDescent="0.25">
      <c r="B53" s="19"/>
      <c r="C53" s="53"/>
      <c r="D53" s="63"/>
      <c r="E53" s="54"/>
      <c r="H53" s="53"/>
      <c r="I53" s="33"/>
      <c r="J53" s="33"/>
      <c r="K53" s="33"/>
      <c r="L53" s="33"/>
      <c r="M53" s="33"/>
      <c r="N53" s="33"/>
    </row>
    <row r="54" spans="2:15" ht="15.75" x14ac:dyDescent="0.25">
      <c r="B54" s="18" t="s">
        <v>38</v>
      </c>
      <c r="C54" s="57">
        <f>((F28+E30+H33+H35+E36+E39)*-1)</f>
        <v>-3008</v>
      </c>
      <c r="D54" s="27"/>
      <c r="E54" s="52">
        <f>C54</f>
        <v>-3008</v>
      </c>
      <c r="F54" s="3"/>
      <c r="G54" s="51">
        <f>C54+17550.16</f>
        <v>14542.16</v>
      </c>
      <c r="H54" s="57">
        <f>C54</f>
        <v>-3008</v>
      </c>
      <c r="I54" s="33"/>
      <c r="J54" s="33"/>
      <c r="K54" s="33"/>
      <c r="L54" s="33"/>
      <c r="M54" s="33"/>
      <c r="N54" s="33"/>
    </row>
    <row r="55" spans="2:15" ht="15.75" x14ac:dyDescent="0.25">
      <c r="B55" s="19"/>
      <c r="C55" s="57"/>
      <c r="D55" s="63"/>
      <c r="E55" s="74"/>
      <c r="F55" s="3"/>
      <c r="H55" s="53"/>
      <c r="I55" s="33"/>
      <c r="J55" s="38"/>
      <c r="K55" s="33"/>
      <c r="L55" s="38"/>
      <c r="M55" s="33"/>
      <c r="N55" s="33"/>
    </row>
    <row r="56" spans="2:15" ht="15.75" x14ac:dyDescent="0.25">
      <c r="B56" s="18" t="s">
        <v>39</v>
      </c>
      <c r="C56" s="57">
        <f>-$E$42</f>
        <v>-2800</v>
      </c>
      <c r="D56" s="27"/>
      <c r="E56" s="52">
        <f>-$E$42</f>
        <v>-2800</v>
      </c>
      <c r="F56" s="3"/>
      <c r="H56" s="57">
        <f>E56</f>
        <v>-2800</v>
      </c>
      <c r="I56" s="33"/>
      <c r="J56" s="33"/>
      <c r="K56" s="33"/>
      <c r="L56" s="33"/>
      <c r="M56" s="33"/>
      <c r="N56" s="33"/>
    </row>
    <row r="57" spans="2:15" ht="15.75" x14ac:dyDescent="0.25">
      <c r="B57" s="19"/>
      <c r="C57" s="53"/>
      <c r="D57" s="63"/>
      <c r="E57" s="54"/>
      <c r="F57" s="3"/>
      <c r="H57" s="53"/>
      <c r="I57" s="33"/>
      <c r="J57" s="38"/>
      <c r="K57" s="33"/>
      <c r="L57" s="33"/>
      <c r="M57" s="33"/>
      <c r="N57" s="33"/>
    </row>
    <row r="58" spans="2:15" ht="15.75" x14ac:dyDescent="0.25">
      <c r="B58" s="18" t="s">
        <v>40</v>
      </c>
      <c r="C58" s="57">
        <f>-MIN((E47-E42),$E$46)</f>
        <v>0</v>
      </c>
      <c r="D58" s="27"/>
      <c r="E58" s="86">
        <f>-MIN((E47-E42),$E$46)</f>
        <v>0</v>
      </c>
      <c r="H58" s="57">
        <f>E58</f>
        <v>0</v>
      </c>
      <c r="I58" s="33"/>
      <c r="J58" s="33"/>
      <c r="K58" s="33"/>
      <c r="L58" s="33"/>
      <c r="M58" s="33"/>
      <c r="N58" s="33"/>
    </row>
    <row r="59" spans="2:15" ht="15.75" x14ac:dyDescent="0.25">
      <c r="B59" s="19"/>
      <c r="C59" s="53"/>
      <c r="D59" s="95">
        <f>(IF(E46=0,0,IF(E44=0,MIN(G47-E42,E42+E46),MIN(F47-E42,E46+E42))))*-1</f>
        <v>0</v>
      </c>
      <c r="E59" s="54"/>
      <c r="H59" s="53"/>
      <c r="I59" s="33"/>
      <c r="J59" s="33"/>
      <c r="K59" s="33"/>
      <c r="L59" s="33"/>
      <c r="M59" s="33"/>
      <c r="N59" s="33"/>
    </row>
    <row r="60" spans="2:15" ht="15.75" x14ac:dyDescent="0.25">
      <c r="B60" s="18" t="s">
        <v>41</v>
      </c>
      <c r="C60" s="58">
        <v>0</v>
      </c>
      <c r="D60" s="28"/>
      <c r="E60" s="86">
        <f>IF(E44&gt;1,H47,I47)*-1</f>
        <v>-25800</v>
      </c>
      <c r="F60" s="91"/>
      <c r="G60" s="91"/>
      <c r="H60" s="58">
        <v>0</v>
      </c>
      <c r="I60" s="38"/>
      <c r="J60" s="38"/>
      <c r="K60" s="69"/>
      <c r="L60" s="33"/>
      <c r="M60" s="33"/>
      <c r="N60" s="33"/>
    </row>
    <row r="61" spans="2:15" ht="15.75" x14ac:dyDescent="0.25">
      <c r="B61" s="19"/>
      <c r="C61" s="53"/>
      <c r="D61" s="63"/>
      <c r="E61" s="54"/>
      <c r="H61" s="53"/>
      <c r="I61" s="33"/>
      <c r="J61" s="33"/>
      <c r="K61" s="69"/>
      <c r="L61" s="33"/>
      <c r="M61" s="33"/>
      <c r="N61" s="33"/>
    </row>
    <row r="62" spans="2:15" ht="15.75" x14ac:dyDescent="0.25">
      <c r="B62" s="18" t="s">
        <v>42</v>
      </c>
      <c r="C62" s="56">
        <f>IF(E44&gt;1,H49,I49)</f>
        <v>209192</v>
      </c>
      <c r="D62" s="26">
        <f>C62-'[1]Simulador IR'!$D$42</f>
        <v>50862.419999999984</v>
      </c>
      <c r="E62" s="56">
        <f>H50</f>
        <v>183392</v>
      </c>
      <c r="H62" s="56">
        <f>H52+H54+H56+H60</f>
        <v>209192</v>
      </c>
      <c r="I62" s="34"/>
      <c r="J62" s="33"/>
      <c r="K62" s="33"/>
      <c r="L62" s="33"/>
      <c r="M62" s="33"/>
      <c r="N62" s="33"/>
    </row>
    <row r="63" spans="2:15" ht="15.75" x14ac:dyDescent="0.25">
      <c r="B63" s="19"/>
      <c r="C63" s="59"/>
      <c r="D63" s="25"/>
      <c r="E63" s="62"/>
      <c r="H63" s="59"/>
      <c r="I63" s="33"/>
      <c r="J63" s="33"/>
      <c r="K63" s="33"/>
      <c r="L63" s="33"/>
      <c r="M63" s="33"/>
      <c r="N63" s="33"/>
    </row>
    <row r="64" spans="2:15" ht="15.75" x14ac:dyDescent="0.25">
      <c r="B64" s="18" t="s">
        <v>43</v>
      </c>
      <c r="C64" s="57">
        <f>IF(C62&lt;$H$18,0,IF(C62&lt;$H$19,C62*$I$19-$J$19,IF(C62&lt;$H$20,C62*$I$20-$J$20,IF(C62&lt;$H$21,C62*$I$21-$J$21, IF(C62&gt;$H$21,C62*$I$22-$J$22)))))</f>
        <v>47095.48</v>
      </c>
      <c r="D64" s="27"/>
      <c r="E64" s="52">
        <f>IF(E62&lt;$H$18,0,IF(E62&lt;$H$19,E62*$I19-$J$19,IF(E62&lt;$H$20,E62*$I$20-$J$20,IF(E62&lt;$H$21,E62*$I$21-$J$21,E62*$I$22-$J$22))))</f>
        <v>40000.480000000003</v>
      </c>
      <c r="F64" s="68">
        <f>30212.68-E64</f>
        <v>-9787.8000000000029</v>
      </c>
      <c r="G64" s="42"/>
      <c r="H64" s="57">
        <f>IF(H62&lt;$H$18,0,IF(H62&lt;$H$19,H62*$I$19-$J$19,IF(H62&lt;$H$20,H62*$I$20-$J$20,IF(H62&lt;$H$21,H62*$I$21-$J$21, IF(H62&gt;$H$21,H62*$I$22-$J$22)))))</f>
        <v>47095.48</v>
      </c>
      <c r="I64" s="37"/>
      <c r="J64" s="33"/>
      <c r="K64" s="33"/>
      <c r="L64" s="38"/>
      <c r="M64" s="33"/>
      <c r="N64" s="33"/>
    </row>
    <row r="65" spans="2:14" x14ac:dyDescent="0.25">
      <c r="B65" s="23" t="s">
        <v>44</v>
      </c>
      <c r="C65" s="53"/>
      <c r="D65" s="63"/>
      <c r="E65" s="54"/>
      <c r="H65" s="33"/>
      <c r="I65" s="37"/>
      <c r="J65" s="33"/>
      <c r="K65" s="37"/>
      <c r="L65" s="33"/>
      <c r="M65" s="33"/>
      <c r="N65" s="33"/>
    </row>
    <row r="66" spans="2:14" ht="30" customHeight="1" x14ac:dyDescent="0.25">
      <c r="B66" s="24" t="s">
        <v>45</v>
      </c>
      <c r="C66" s="67">
        <f>ROUND($H$64-C64,2)</f>
        <v>0</v>
      </c>
      <c r="D66" s="67"/>
      <c r="E66" s="67">
        <f>ROUND($H$64-E64,2)</f>
        <v>7095</v>
      </c>
      <c r="F66" s="51"/>
      <c r="H66" s="69"/>
      <c r="I66" s="37"/>
      <c r="J66" s="33"/>
      <c r="K66" s="37"/>
      <c r="L66" s="69"/>
      <c r="M66" s="33"/>
      <c r="N66" s="33"/>
    </row>
    <row r="67" spans="2:14" ht="15.75" x14ac:dyDescent="0.25">
      <c r="B67" s="19"/>
      <c r="C67" s="94"/>
      <c r="D67" s="51"/>
      <c r="H67" s="33"/>
      <c r="I67" s="37"/>
      <c r="J67" s="33"/>
      <c r="K67" s="37"/>
      <c r="L67" s="33"/>
      <c r="M67" s="33"/>
      <c r="N67" s="33"/>
    </row>
    <row r="68" spans="2:14" ht="15.75" x14ac:dyDescent="0.25">
      <c r="B68" s="19"/>
      <c r="F68" s="51"/>
      <c r="H68" s="33"/>
      <c r="I68" s="37"/>
      <c r="J68" s="33"/>
      <c r="K68" s="37"/>
      <c r="L68" s="33"/>
      <c r="M68" s="33"/>
      <c r="N68" s="33"/>
    </row>
    <row r="69" spans="2:14" ht="15.75" x14ac:dyDescent="0.25">
      <c r="B69" s="19"/>
      <c r="C69" s="1"/>
      <c r="F69" s="96"/>
      <c r="H69" s="33"/>
      <c r="I69" s="69"/>
      <c r="J69" s="33"/>
      <c r="K69" s="37"/>
      <c r="L69" s="33"/>
      <c r="M69" s="33"/>
      <c r="N69" s="33"/>
    </row>
    <row r="70" spans="2:14" ht="15.75" x14ac:dyDescent="0.25">
      <c r="B70" s="18"/>
      <c r="C70" s="1"/>
      <c r="D70" s="1"/>
      <c r="E70" s="1"/>
      <c r="F70" s="51"/>
      <c r="H70" s="33"/>
      <c r="I70" s="33"/>
      <c r="J70" s="33"/>
      <c r="K70" s="37"/>
      <c r="L70" s="33"/>
      <c r="M70" s="33"/>
      <c r="N70" s="33"/>
    </row>
    <row r="71" spans="2:14" x14ac:dyDescent="0.25">
      <c r="B71" s="20"/>
      <c r="C71" s="51"/>
      <c r="H71" s="33"/>
      <c r="I71" s="33"/>
      <c r="J71" s="33"/>
      <c r="K71" s="33"/>
      <c r="L71" s="33"/>
      <c r="M71" s="33"/>
      <c r="N71" s="33"/>
    </row>
    <row r="72" spans="2:14" ht="15.75" x14ac:dyDescent="0.25">
      <c r="B72" s="19"/>
      <c r="C72" s="3"/>
    </row>
    <row r="73" spans="2:14" ht="15.75" x14ac:dyDescent="0.25">
      <c r="B73" s="18"/>
    </row>
    <row r="74" spans="2:14" x14ac:dyDescent="0.25">
      <c r="B74" s="20"/>
    </row>
    <row r="75" spans="2:14" ht="15.75" x14ac:dyDescent="0.25">
      <c r="B75" s="19"/>
    </row>
    <row r="76" spans="2:14" ht="15.75" x14ac:dyDescent="0.25">
      <c r="B76" s="18"/>
    </row>
    <row r="77" spans="2:14" x14ac:dyDescent="0.25">
      <c r="B77" s="20"/>
    </row>
    <row r="78" spans="2:14" ht="15.75" x14ac:dyDescent="0.25">
      <c r="B78" s="19"/>
    </row>
    <row r="80" spans="2:14" ht="15.75" x14ac:dyDescent="0.25">
      <c r="B80" s="19"/>
    </row>
    <row r="81" spans="2:2" ht="15.75" x14ac:dyDescent="0.25">
      <c r="B81" s="21" t="s">
        <v>26</v>
      </c>
    </row>
    <row r="82" spans="2:2" x14ac:dyDescent="0.25">
      <c r="B82" s="20" t="s">
        <v>23</v>
      </c>
    </row>
  </sheetData>
  <sheetProtection algorithmName="SHA-512" hashValue="Hi4zLjLX0eAl3PC+pd5t3YK/6fYieoEOfNTXB57MTXeeC89VJIWnv1lA/pHR2oUjaSEb7fyHyQjEK66tkdlnyw==" saltValue="+IB8b76G3Xp6KsSMFKdyIA==" spinCount="100000" sheet="1" objects="1" scenarios="1"/>
  <mergeCells count="6">
    <mergeCell ref="H44:I44"/>
    <mergeCell ref="F44:G44"/>
    <mergeCell ref="B24:E24"/>
    <mergeCell ref="B49:E49"/>
    <mergeCell ref="B5:C5"/>
    <mergeCell ref="B23:E23"/>
  </mergeCells>
  <pageMargins left="0.511811024" right="0.511811024" top="0.78740157499999996" bottom="0.78740157499999996" header="0.31496062000000002" footer="0.31496062000000002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2D461-96A9-4796-8EAF-87C78FAAB3D4}">
  <sheetPr codeName="Planilha3"/>
  <dimension ref="A8:Q43"/>
  <sheetViews>
    <sheetView showGridLines="0" tabSelected="1" topLeftCell="A10" zoomScale="55" zoomScaleNormal="55" workbookViewId="0">
      <selection activeCell="L23" sqref="L23:P39"/>
    </sheetView>
  </sheetViews>
  <sheetFormatPr defaultRowHeight="18.75" x14ac:dyDescent="0.3"/>
  <cols>
    <col min="1" max="1" width="4.85546875" style="78" customWidth="1"/>
    <col min="2" max="5" width="9.140625" style="78"/>
    <col min="6" max="6" width="63.7109375" style="78" customWidth="1"/>
    <col min="7" max="7" width="9.140625" style="78"/>
    <col min="8" max="8" width="15.85546875" style="78" customWidth="1"/>
    <col min="9" max="9" width="3.28515625" style="78" customWidth="1"/>
    <col min="10" max="11" width="14.7109375" style="78" customWidth="1"/>
    <col min="12" max="14" width="9.140625" style="78"/>
    <col min="15" max="15" width="24" style="78" bestFit="1" customWidth="1"/>
    <col min="16" max="16" width="22.85546875" style="78" customWidth="1"/>
    <col min="17" max="17" width="20.42578125" style="78" bestFit="1" customWidth="1"/>
    <col min="18" max="16384" width="9.140625" style="78"/>
  </cols>
  <sheetData>
    <row r="8" spans="1:11" ht="26.25" customHeight="1" x14ac:dyDescent="0.3"/>
    <row r="9" spans="1:11" ht="42" customHeight="1" x14ac:dyDescent="0.3"/>
    <row r="10" spans="1:11" ht="26.25" x14ac:dyDescent="0.3">
      <c r="A10" s="108" t="s">
        <v>33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</row>
    <row r="11" spans="1:11" ht="23.25" x14ac:dyDescent="0.3">
      <c r="A11" s="109" t="s">
        <v>53</v>
      </c>
      <c r="B11" s="109"/>
      <c r="C11" s="109"/>
      <c r="D11" s="109"/>
      <c r="E11" s="109"/>
      <c r="F11" s="109"/>
      <c r="G11" s="110">
        <v>215000</v>
      </c>
      <c r="H11" s="110"/>
      <c r="I11" s="110"/>
      <c r="J11" s="110"/>
      <c r="K11" s="110"/>
    </row>
    <row r="12" spans="1:11" ht="23.25" x14ac:dyDescent="0.35">
      <c r="A12" s="109" t="s">
        <v>54</v>
      </c>
      <c r="B12" s="109"/>
      <c r="C12" s="109"/>
      <c r="D12" s="109"/>
      <c r="E12" s="109"/>
      <c r="F12" s="109"/>
      <c r="G12" s="111">
        <v>0</v>
      </c>
      <c r="H12" s="111"/>
      <c r="I12" s="111"/>
      <c r="J12" s="111"/>
      <c r="K12" s="111"/>
    </row>
    <row r="13" spans="1:11" ht="23.25" x14ac:dyDescent="0.35">
      <c r="A13" s="109" t="s">
        <v>64</v>
      </c>
      <c r="B13" s="109"/>
      <c r="C13" s="109"/>
      <c r="D13" s="109"/>
      <c r="E13" s="109"/>
      <c r="F13" s="109"/>
      <c r="G13" s="112">
        <v>3000</v>
      </c>
      <c r="H13" s="112"/>
      <c r="I13" s="112"/>
      <c r="J13" s="112"/>
      <c r="K13" s="112"/>
    </row>
    <row r="14" spans="1:11" ht="23.25" x14ac:dyDescent="0.35">
      <c r="A14" s="102" t="s">
        <v>65</v>
      </c>
      <c r="B14" s="103"/>
      <c r="C14" s="103"/>
      <c r="D14" s="103"/>
      <c r="E14" s="103"/>
      <c r="F14" s="104"/>
      <c r="G14" s="105">
        <v>0</v>
      </c>
      <c r="H14" s="106"/>
      <c r="I14" s="106"/>
      <c r="J14" s="106"/>
      <c r="K14" s="107"/>
    </row>
    <row r="15" spans="1:11" ht="23.25" x14ac:dyDescent="0.35">
      <c r="A15" s="102" t="s">
        <v>66</v>
      </c>
      <c r="B15" s="103"/>
      <c r="C15" s="103"/>
      <c r="D15" s="103"/>
      <c r="E15" s="103"/>
      <c r="F15" s="104"/>
      <c r="G15" s="105">
        <v>0</v>
      </c>
      <c r="H15" s="106"/>
      <c r="I15" s="106"/>
      <c r="J15" s="106"/>
      <c r="K15" s="107"/>
    </row>
    <row r="16" spans="1:11" ht="23.25" x14ac:dyDescent="0.35">
      <c r="A16" s="109" t="s">
        <v>67</v>
      </c>
      <c r="B16" s="109"/>
      <c r="C16" s="109"/>
      <c r="D16" s="109"/>
      <c r="E16" s="109"/>
      <c r="F16" s="109"/>
      <c r="G16" s="112">
        <v>8</v>
      </c>
      <c r="H16" s="112"/>
      <c r="I16" s="112"/>
      <c r="J16" s="112"/>
      <c r="K16" s="112"/>
    </row>
    <row r="17" spans="1:16" ht="23.25" x14ac:dyDescent="0.35">
      <c r="A17" s="109" t="s">
        <v>56</v>
      </c>
      <c r="B17" s="109"/>
      <c r="C17" s="109"/>
      <c r="D17" s="109"/>
      <c r="E17" s="109"/>
      <c r="F17" s="109"/>
      <c r="G17" s="105">
        <v>0</v>
      </c>
      <c r="H17" s="106"/>
      <c r="I17" s="106"/>
      <c r="J17" s="106"/>
      <c r="K17" s="107"/>
    </row>
    <row r="18" spans="1:16" ht="23.25" x14ac:dyDescent="0.35">
      <c r="A18" s="109" t="s">
        <v>31</v>
      </c>
      <c r="B18" s="109"/>
      <c r="C18" s="109"/>
      <c r="D18" s="109"/>
      <c r="E18" s="109"/>
      <c r="F18" s="109"/>
      <c r="G18" s="112">
        <v>2800</v>
      </c>
      <c r="H18" s="112"/>
      <c r="I18" s="112"/>
      <c r="J18" s="112"/>
      <c r="K18" s="112"/>
    </row>
    <row r="19" spans="1:16" ht="23.25" x14ac:dyDescent="0.35">
      <c r="A19" s="109" t="s">
        <v>72</v>
      </c>
      <c r="B19" s="109"/>
      <c r="C19" s="109"/>
      <c r="D19" s="109"/>
      <c r="E19" s="109"/>
      <c r="F19" s="109"/>
      <c r="G19" s="112">
        <v>2800</v>
      </c>
      <c r="H19" s="112"/>
      <c r="I19" s="112"/>
      <c r="J19" s="112"/>
      <c r="K19" s="112"/>
    </row>
    <row r="20" spans="1:16" ht="23.25" x14ac:dyDescent="0.35">
      <c r="A20" s="109" t="s">
        <v>68</v>
      </c>
      <c r="B20" s="109"/>
      <c r="C20" s="109"/>
      <c r="D20" s="109"/>
      <c r="E20" s="109"/>
      <c r="F20" s="109"/>
      <c r="G20" s="112">
        <v>0</v>
      </c>
      <c r="H20" s="112"/>
      <c r="I20" s="112"/>
      <c r="J20" s="112"/>
      <c r="K20" s="112"/>
    </row>
    <row r="21" spans="1:16" ht="23.25" x14ac:dyDescent="0.35">
      <c r="A21" s="109" t="s">
        <v>55</v>
      </c>
      <c r="B21" s="109"/>
      <c r="C21" s="109"/>
      <c r="D21" s="109"/>
      <c r="E21" s="109"/>
      <c r="F21" s="109"/>
      <c r="G21" s="115">
        <f>SIMULADOR!E47</f>
        <v>28600</v>
      </c>
      <c r="H21" s="115"/>
      <c r="I21" s="115"/>
      <c r="J21" s="115"/>
      <c r="K21" s="115"/>
    </row>
    <row r="22" spans="1:16" ht="6" customHeight="1" x14ac:dyDescent="0.3">
      <c r="A22" s="79"/>
      <c r="B22" s="79"/>
      <c r="C22" s="79"/>
      <c r="D22" s="79"/>
      <c r="E22" s="79"/>
      <c r="F22" s="79"/>
      <c r="G22" s="79"/>
      <c r="H22" s="79"/>
      <c r="I22" s="79"/>
      <c r="J22" s="79"/>
      <c r="K22" s="79"/>
    </row>
    <row r="23" spans="1:16" ht="26.25" x14ac:dyDescent="0.3">
      <c r="A23" s="108" t="s">
        <v>63</v>
      </c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19" t="s">
        <v>85</v>
      </c>
      <c r="M23" s="119"/>
      <c r="N23" s="119"/>
      <c r="O23" s="119"/>
      <c r="P23" s="119"/>
    </row>
    <row r="24" spans="1:16" ht="23.25" x14ac:dyDescent="0.35">
      <c r="A24" s="120"/>
      <c r="B24" s="120"/>
      <c r="C24" s="120"/>
      <c r="D24" s="120"/>
      <c r="E24" s="120"/>
      <c r="F24" s="120"/>
      <c r="G24" s="113" t="s">
        <v>58</v>
      </c>
      <c r="H24" s="113"/>
      <c r="I24" s="83"/>
      <c r="J24" s="113" t="s">
        <v>59</v>
      </c>
      <c r="K24" s="114"/>
      <c r="L24" s="119"/>
      <c r="M24" s="119"/>
      <c r="N24" s="119"/>
      <c r="O24" s="119"/>
      <c r="P24" s="119"/>
    </row>
    <row r="25" spans="1:16" ht="23.25" x14ac:dyDescent="0.35">
      <c r="A25" s="109" t="s">
        <v>57</v>
      </c>
      <c r="B25" s="116"/>
      <c r="C25" s="116"/>
      <c r="D25" s="116"/>
      <c r="E25" s="116"/>
      <c r="F25" s="116"/>
      <c r="G25" s="115">
        <f>SIMULADOR!C52</f>
        <v>215000</v>
      </c>
      <c r="H25" s="115"/>
      <c r="I25" s="81"/>
      <c r="J25" s="117">
        <f>SIMULADOR!E52</f>
        <v>215000</v>
      </c>
      <c r="K25" s="121"/>
      <c r="L25" s="119"/>
      <c r="M25" s="119"/>
      <c r="N25" s="119"/>
      <c r="O25" s="119"/>
      <c r="P25" s="119"/>
    </row>
    <row r="26" spans="1:16" ht="4.5" customHeight="1" x14ac:dyDescent="0.35">
      <c r="A26" s="118"/>
      <c r="B26" s="118"/>
      <c r="C26" s="118"/>
      <c r="D26" s="118"/>
      <c r="E26" s="118"/>
      <c r="F26" s="118"/>
      <c r="G26" s="82"/>
      <c r="H26" s="82"/>
      <c r="I26" s="81"/>
      <c r="J26" s="82"/>
      <c r="K26" s="82"/>
      <c r="L26" s="119"/>
      <c r="M26" s="119"/>
      <c r="N26" s="119"/>
      <c r="O26" s="119"/>
      <c r="P26" s="119"/>
    </row>
    <row r="27" spans="1:16" ht="23.25" x14ac:dyDescent="0.35">
      <c r="A27" s="109" t="s">
        <v>60</v>
      </c>
      <c r="B27" s="116"/>
      <c r="C27" s="116"/>
      <c r="D27" s="116"/>
      <c r="E27" s="116"/>
      <c r="F27" s="116"/>
      <c r="G27" s="115">
        <f>IF(G12&gt;0,SIMULADOR!C55,SIMULADOR!C54)</f>
        <v>-3008</v>
      </c>
      <c r="H27" s="115"/>
      <c r="I27" s="81"/>
      <c r="J27" s="115">
        <f>G27</f>
        <v>-3008</v>
      </c>
      <c r="K27" s="117"/>
      <c r="L27" s="119"/>
      <c r="M27" s="119"/>
      <c r="N27" s="119"/>
      <c r="O27" s="119"/>
      <c r="P27" s="119"/>
    </row>
    <row r="28" spans="1:16" ht="4.5" customHeight="1" x14ac:dyDescent="0.35">
      <c r="A28" s="81"/>
      <c r="B28" s="81"/>
      <c r="C28" s="81"/>
      <c r="D28" s="81"/>
      <c r="E28" s="81"/>
      <c r="F28" s="81"/>
      <c r="G28" s="82"/>
      <c r="H28" s="82"/>
      <c r="I28" s="81"/>
      <c r="J28" s="82"/>
      <c r="K28" s="82"/>
      <c r="L28" s="119"/>
      <c r="M28" s="119"/>
      <c r="N28" s="119"/>
      <c r="O28" s="119"/>
      <c r="P28" s="119"/>
    </row>
    <row r="29" spans="1:16" ht="23.25" x14ac:dyDescent="0.35">
      <c r="A29" s="109" t="s">
        <v>70</v>
      </c>
      <c r="B29" s="116"/>
      <c r="C29" s="116"/>
      <c r="D29" s="116"/>
      <c r="E29" s="116"/>
      <c r="F29" s="116"/>
      <c r="G29" s="115">
        <f>SIMULADOR!C56</f>
        <v>-2800</v>
      </c>
      <c r="H29" s="115"/>
      <c r="I29" s="81"/>
      <c r="J29" s="115">
        <f>SIMULADOR!E56</f>
        <v>-2800</v>
      </c>
      <c r="K29" s="117"/>
      <c r="L29" s="119"/>
      <c r="M29" s="119"/>
      <c r="N29" s="119"/>
      <c r="O29" s="119"/>
      <c r="P29" s="119"/>
    </row>
    <row r="30" spans="1:16" ht="4.5" customHeight="1" x14ac:dyDescent="0.35">
      <c r="A30" s="81"/>
      <c r="B30" s="81"/>
      <c r="C30" s="81"/>
      <c r="D30" s="81"/>
      <c r="E30" s="81"/>
      <c r="F30" s="81"/>
      <c r="G30" s="82"/>
      <c r="H30" s="82"/>
      <c r="I30" s="81"/>
      <c r="J30" s="82"/>
      <c r="K30" s="82"/>
      <c r="L30" s="119"/>
      <c r="M30" s="119"/>
      <c r="N30" s="119"/>
      <c r="O30" s="119"/>
      <c r="P30" s="119"/>
    </row>
    <row r="31" spans="1:16" ht="23.25" x14ac:dyDescent="0.35">
      <c r="A31" s="109" t="s">
        <v>73</v>
      </c>
      <c r="B31" s="116"/>
      <c r="C31" s="116"/>
      <c r="D31" s="116"/>
      <c r="E31" s="116"/>
      <c r="F31" s="116"/>
      <c r="G31" s="115">
        <f>SIMULADOR!C58</f>
        <v>0</v>
      </c>
      <c r="H31" s="115"/>
      <c r="I31" s="81"/>
      <c r="J31" s="115">
        <f>SIMULADOR!E58</f>
        <v>0</v>
      </c>
      <c r="K31" s="117"/>
      <c r="L31" s="119"/>
      <c r="M31" s="119"/>
      <c r="N31" s="119"/>
      <c r="O31" s="119"/>
      <c r="P31" s="119"/>
    </row>
    <row r="32" spans="1:16" ht="4.5" customHeight="1" x14ac:dyDescent="0.35">
      <c r="A32" s="81"/>
      <c r="B32" s="81"/>
      <c r="C32" s="81"/>
      <c r="D32" s="81"/>
      <c r="E32" s="81"/>
      <c r="F32" s="81"/>
      <c r="G32" s="82"/>
      <c r="H32" s="82"/>
      <c r="I32" s="81"/>
      <c r="J32" s="82"/>
      <c r="K32" s="82"/>
      <c r="L32" s="119"/>
      <c r="M32" s="119"/>
      <c r="N32" s="119"/>
      <c r="O32" s="119"/>
      <c r="P32" s="119"/>
    </row>
    <row r="33" spans="1:17" ht="23.25" x14ac:dyDescent="0.35">
      <c r="A33" s="109" t="s">
        <v>69</v>
      </c>
      <c r="B33" s="116"/>
      <c r="C33" s="116"/>
      <c r="D33" s="116"/>
      <c r="E33" s="116"/>
      <c r="F33" s="116"/>
      <c r="G33" s="115">
        <f>SIMULADOR!C60</f>
        <v>0</v>
      </c>
      <c r="H33" s="115"/>
      <c r="I33" s="81"/>
      <c r="J33" s="115">
        <f>SIMULADOR!E60</f>
        <v>-25800</v>
      </c>
      <c r="K33" s="117"/>
      <c r="L33" s="119"/>
      <c r="M33" s="119"/>
      <c r="N33" s="119"/>
      <c r="O33" s="119"/>
      <c r="P33" s="119"/>
      <c r="Q33" s="87"/>
    </row>
    <row r="34" spans="1:17" ht="4.5" customHeight="1" x14ac:dyDescent="0.35">
      <c r="A34" s="81"/>
      <c r="B34" s="81"/>
      <c r="C34" s="81"/>
      <c r="D34" s="81"/>
      <c r="E34" s="81"/>
      <c r="F34" s="81"/>
      <c r="G34" s="82"/>
      <c r="H34" s="82"/>
      <c r="I34" s="81"/>
      <c r="J34" s="82"/>
      <c r="K34" s="82"/>
      <c r="L34" s="119"/>
      <c r="M34" s="119"/>
      <c r="N34" s="119"/>
      <c r="O34" s="119"/>
      <c r="P34" s="119"/>
      <c r="Q34" s="78" t="s">
        <v>79</v>
      </c>
    </row>
    <row r="35" spans="1:17" ht="23.25" x14ac:dyDescent="0.35">
      <c r="A35" s="109" t="s">
        <v>42</v>
      </c>
      <c r="B35" s="116"/>
      <c r="C35" s="116"/>
      <c r="D35" s="116"/>
      <c r="E35" s="116"/>
      <c r="F35" s="116"/>
      <c r="G35" s="115">
        <f>SIMULADOR!C62</f>
        <v>209192</v>
      </c>
      <c r="H35" s="115"/>
      <c r="I35" s="81"/>
      <c r="J35" s="115">
        <f>SIMULADOR!E62</f>
        <v>183392</v>
      </c>
      <c r="K35" s="117"/>
      <c r="L35" s="119"/>
      <c r="M35" s="119"/>
      <c r="N35" s="119"/>
      <c r="O35" s="119"/>
      <c r="P35" s="119"/>
    </row>
    <row r="36" spans="1:17" ht="4.5" customHeight="1" x14ac:dyDescent="0.35">
      <c r="A36" s="81"/>
      <c r="B36" s="81"/>
      <c r="C36" s="81"/>
      <c r="D36" s="81"/>
      <c r="E36" s="81"/>
      <c r="F36" s="81"/>
      <c r="G36" s="82"/>
      <c r="H36" s="82"/>
      <c r="I36" s="81"/>
      <c r="J36" s="82"/>
      <c r="K36" s="82"/>
      <c r="L36" s="119"/>
      <c r="M36" s="119"/>
      <c r="N36" s="119"/>
      <c r="O36" s="119"/>
      <c r="P36" s="119"/>
    </row>
    <row r="37" spans="1:17" ht="23.25" x14ac:dyDescent="0.35">
      <c r="A37" s="109" t="s">
        <v>71</v>
      </c>
      <c r="B37" s="109"/>
      <c r="C37" s="109"/>
      <c r="D37" s="109"/>
      <c r="E37" s="109"/>
      <c r="F37" s="109"/>
      <c r="G37" s="115">
        <f>SIMULADOR!C64</f>
        <v>47095.48</v>
      </c>
      <c r="H37" s="115"/>
      <c r="I37" s="81"/>
      <c r="J37" s="115">
        <f>SIMULADOR!E64</f>
        <v>40000.480000000003</v>
      </c>
      <c r="K37" s="117"/>
      <c r="L37" s="119"/>
      <c r="M37" s="119"/>
      <c r="N37" s="119"/>
      <c r="O37" s="119"/>
      <c r="P37" s="119"/>
    </row>
    <row r="38" spans="1:17" ht="4.5" customHeight="1" x14ac:dyDescent="0.35">
      <c r="A38" s="81"/>
      <c r="B38" s="81"/>
      <c r="C38" s="81"/>
      <c r="D38" s="81"/>
      <c r="E38" s="81"/>
      <c r="F38" s="81"/>
      <c r="G38" s="82"/>
      <c r="H38" s="82"/>
      <c r="I38" s="81"/>
      <c r="J38" s="82"/>
      <c r="K38" s="82"/>
      <c r="L38" s="119"/>
      <c r="M38" s="119"/>
      <c r="N38" s="119"/>
      <c r="O38" s="119"/>
      <c r="P38" s="119"/>
    </row>
    <row r="39" spans="1:17" ht="23.25" x14ac:dyDescent="0.35">
      <c r="A39" s="102" t="s">
        <v>45</v>
      </c>
      <c r="B39" s="103"/>
      <c r="C39" s="103"/>
      <c r="D39" s="103"/>
      <c r="E39" s="103"/>
      <c r="F39" s="104"/>
      <c r="G39" s="115">
        <f>SIMULADOR!C66</f>
        <v>0</v>
      </c>
      <c r="H39" s="115"/>
      <c r="I39" s="81"/>
      <c r="J39" s="115">
        <f>SIMULADOR!E66</f>
        <v>7095</v>
      </c>
      <c r="K39" s="117"/>
      <c r="L39" s="119"/>
      <c r="M39" s="119"/>
      <c r="N39" s="119"/>
      <c r="O39" s="119"/>
      <c r="P39" s="119"/>
    </row>
    <row r="40" spans="1:17" ht="4.5" customHeight="1" x14ac:dyDescent="0.35">
      <c r="A40" s="118"/>
      <c r="B40" s="118"/>
      <c r="C40" s="118"/>
      <c r="D40" s="118"/>
      <c r="E40" s="118"/>
      <c r="F40" s="118"/>
      <c r="G40" s="82"/>
      <c r="H40" s="82"/>
      <c r="I40" s="81"/>
      <c r="J40" s="82"/>
      <c r="K40" s="82"/>
    </row>
    <row r="41" spans="1:17" x14ac:dyDescent="0.3">
      <c r="I41" s="80"/>
    </row>
    <row r="42" spans="1:17" x14ac:dyDescent="0.3">
      <c r="A42" s="84"/>
      <c r="I42" s="80"/>
    </row>
    <row r="43" spans="1:17" x14ac:dyDescent="0.3">
      <c r="I43" s="80"/>
    </row>
  </sheetData>
  <sheetProtection algorithmName="SHA-512" hashValue="Vkfl+hWnOdIb5P7lXheVnhGWACM3CS/XFNEkumDFcudVZaak2nFmHWIyO+FuCWjanqu/Xiq6ODoEO2kVimfYBQ==" saltValue="UE34D1e/0TR5MKfMuJam9g==" spinCount="100000" sheet="1" objects="1" scenarios="1"/>
  <mergeCells count="54">
    <mergeCell ref="L23:P39"/>
    <mergeCell ref="A40:F40"/>
    <mergeCell ref="A39:F39"/>
    <mergeCell ref="G39:H39"/>
    <mergeCell ref="J39:K39"/>
    <mergeCell ref="A37:F37"/>
    <mergeCell ref="G37:H37"/>
    <mergeCell ref="J37:K37"/>
    <mergeCell ref="G29:H29"/>
    <mergeCell ref="J29:K29"/>
    <mergeCell ref="A23:K23"/>
    <mergeCell ref="A24:F24"/>
    <mergeCell ref="A25:F25"/>
    <mergeCell ref="G24:H24"/>
    <mergeCell ref="G25:H25"/>
    <mergeCell ref="J25:K25"/>
    <mergeCell ref="A15:F15"/>
    <mergeCell ref="G15:K15"/>
    <mergeCell ref="A35:F35"/>
    <mergeCell ref="G35:H35"/>
    <mergeCell ref="J35:K35"/>
    <mergeCell ref="A31:F31"/>
    <mergeCell ref="G31:H31"/>
    <mergeCell ref="J31:K31"/>
    <mergeCell ref="A33:F33"/>
    <mergeCell ref="G33:H33"/>
    <mergeCell ref="J33:K33"/>
    <mergeCell ref="A26:F26"/>
    <mergeCell ref="A27:F27"/>
    <mergeCell ref="G27:H27"/>
    <mergeCell ref="J27:K27"/>
    <mergeCell ref="A29:F29"/>
    <mergeCell ref="J24:K24"/>
    <mergeCell ref="A19:F19"/>
    <mergeCell ref="G19:K19"/>
    <mergeCell ref="A20:F20"/>
    <mergeCell ref="G20:K20"/>
    <mergeCell ref="A21:F21"/>
    <mergeCell ref="G21:K21"/>
    <mergeCell ref="A16:F16"/>
    <mergeCell ref="G16:K16"/>
    <mergeCell ref="A17:F17"/>
    <mergeCell ref="G17:K17"/>
    <mergeCell ref="A18:F18"/>
    <mergeCell ref="G18:K18"/>
    <mergeCell ref="A14:F14"/>
    <mergeCell ref="G14:K14"/>
    <mergeCell ref="A10:K10"/>
    <mergeCell ref="A11:F11"/>
    <mergeCell ref="G11:K11"/>
    <mergeCell ref="A12:F12"/>
    <mergeCell ref="G12:K12"/>
    <mergeCell ref="A13:F13"/>
    <mergeCell ref="G13:K1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Planilha1</vt:lpstr>
      <vt:lpstr>SIMULADOR</vt:lpstr>
      <vt:lpstr>Simulador de Benefício Fiscal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Enecila</dc:creator>
  <cp:lastModifiedBy>Jonatan Bispo</cp:lastModifiedBy>
  <cp:lastPrinted>2019-11-21T18:56:11Z</cp:lastPrinted>
  <dcterms:created xsi:type="dcterms:W3CDTF">2019-08-16T11:14:01Z</dcterms:created>
  <dcterms:modified xsi:type="dcterms:W3CDTF">2019-12-27T19:32:54Z</dcterms:modified>
</cp:coreProperties>
</file>